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 activeTab="1"/>
  </bookViews>
  <sheets>
    <sheet name="Tributarios (grafica)" sheetId="4" r:id="rId1"/>
    <sheet name="Ingresos" sheetId="1" r:id="rId2"/>
    <sheet name="Tributarios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B8" i="2"/>
  <c r="B19"/>
  <c r="B18"/>
  <c r="B17"/>
  <c r="B16"/>
  <c r="B15"/>
  <c r="B14"/>
  <c r="B13"/>
  <c r="B12"/>
  <c r="B11"/>
  <c r="B10"/>
  <c r="C18" i="4"/>
  <c r="C17"/>
  <c r="C16"/>
  <c r="C15"/>
  <c r="C14"/>
  <c r="C13"/>
  <c r="C12"/>
  <c r="C11"/>
  <c r="C10"/>
  <c r="C9"/>
  <c r="D10" i="2"/>
  <c r="D17"/>
  <c r="D15"/>
  <c r="D14"/>
  <c r="D11"/>
  <c r="D16"/>
  <c r="F10"/>
  <c r="F17"/>
  <c r="F16"/>
  <c r="F15"/>
  <c r="F14"/>
  <c r="F11"/>
  <c r="J10"/>
  <c r="H10"/>
  <c r="D17" i="1"/>
  <c r="F17"/>
  <c r="H17"/>
  <c r="D2"/>
  <c r="D1"/>
  <c r="F25" i="2"/>
  <c r="H25"/>
  <c r="F24"/>
  <c r="F27"/>
  <c r="F26"/>
  <c r="J30"/>
  <c r="J29"/>
  <c r="J28"/>
  <c r="J27"/>
  <c r="J26"/>
  <c r="J25"/>
  <c r="J24"/>
  <c r="J23"/>
  <c r="J22"/>
  <c r="J21"/>
  <c r="C29" i="4"/>
  <c r="C28"/>
  <c r="C27"/>
  <c r="C26"/>
  <c r="C25"/>
  <c r="C24"/>
  <c r="C23"/>
  <c r="C22"/>
  <c r="C21"/>
  <c r="C20"/>
  <c r="C7"/>
  <c r="D18" s="1"/>
  <c r="F8" i="2"/>
  <c r="F30"/>
  <c r="F29"/>
  <c r="F28"/>
  <c r="F23"/>
  <c r="F22"/>
  <c r="F21"/>
  <c r="D26"/>
  <c r="D21" i="1"/>
  <c r="E18" s="1"/>
  <c r="D9" i="4" l="1"/>
  <c r="D11"/>
  <c r="D13"/>
  <c r="D15"/>
  <c r="D17"/>
  <c r="D10"/>
  <c r="D12"/>
  <c r="D14"/>
  <c r="D16"/>
  <c r="D7" i="1"/>
  <c r="E10"/>
  <c r="E14"/>
  <c r="E8"/>
  <c r="E12"/>
  <c r="E9"/>
  <c r="E11"/>
  <c r="E13"/>
  <c r="E15"/>
  <c r="E17"/>
  <c r="E19"/>
  <c r="E16"/>
  <c r="C5" i="4"/>
  <c r="B18" s="1"/>
  <c r="F6" i="2"/>
  <c r="D7" i="4" l="1"/>
  <c r="E21" i="1"/>
  <c r="B20" i="4"/>
  <c r="B17"/>
  <c r="B16"/>
  <c r="B15"/>
  <c r="B14"/>
  <c r="B13"/>
  <c r="B12"/>
  <c r="B11"/>
  <c r="B10"/>
  <c r="B9"/>
  <c r="B29"/>
  <c r="B27"/>
  <c r="B25"/>
  <c r="B23"/>
  <c r="B21"/>
  <c r="B28"/>
  <c r="B26"/>
  <c r="B24"/>
  <c r="B22"/>
  <c r="B7" l="1"/>
  <c r="B5" s="1"/>
  <c r="H26" i="2"/>
  <c r="J8"/>
  <c r="F21" i="1"/>
  <c r="H21"/>
  <c r="F7" l="1"/>
  <c r="F2"/>
  <c r="I19"/>
  <c r="H7"/>
  <c r="J6" i="2"/>
  <c r="I30" s="1"/>
  <c r="I27"/>
  <c r="I10"/>
  <c r="I16"/>
  <c r="I25"/>
  <c r="I13"/>
  <c r="I17"/>
  <c r="I22"/>
  <c r="I26"/>
  <c r="I8" i="1"/>
  <c r="I10"/>
  <c r="I12"/>
  <c r="I14"/>
  <c r="I16"/>
  <c r="I18"/>
  <c r="I9"/>
  <c r="I11"/>
  <c r="I13"/>
  <c r="I15"/>
  <c r="I17"/>
  <c r="H30" i="2"/>
  <c r="H29"/>
  <c r="H28"/>
  <c r="H27"/>
  <c r="H24"/>
  <c r="H23"/>
  <c r="H22"/>
  <c r="H21"/>
  <c r="I28" l="1"/>
  <c r="I24"/>
  <c r="I19"/>
  <c r="I15"/>
  <c r="I11"/>
  <c r="I21"/>
  <c r="I12"/>
  <c r="I29"/>
  <c r="I23"/>
  <c r="I18"/>
  <c r="I14"/>
  <c r="D30"/>
  <c r="D29"/>
  <c r="D28"/>
  <c r="D27"/>
  <c r="D25"/>
  <c r="D24"/>
  <c r="D23"/>
  <c r="D22"/>
  <c r="D21"/>
  <c r="H8"/>
  <c r="H6" s="1"/>
  <c r="D8"/>
  <c r="I8" l="1"/>
  <c r="I6" s="1"/>
  <c r="D31"/>
  <c r="E25"/>
  <c r="E16"/>
  <c r="E12"/>
  <c r="E19"/>
  <c r="E17"/>
  <c r="E15"/>
  <c r="E13"/>
  <c r="E11"/>
  <c r="E18"/>
  <c r="E14"/>
  <c r="E10"/>
  <c r="E23"/>
  <c r="E24"/>
  <c r="E30"/>
  <c r="E21"/>
  <c r="E29"/>
  <c r="E26"/>
  <c r="E22"/>
  <c r="E28"/>
  <c r="E27"/>
  <c r="G26"/>
  <c r="D6"/>
  <c r="B21" i="1"/>
  <c r="C19" l="1"/>
  <c r="B7"/>
  <c r="E8" i="2"/>
  <c r="E6" s="1"/>
  <c r="C29"/>
  <c r="C26"/>
  <c r="C17" i="1"/>
  <c r="C15"/>
  <c r="C13"/>
  <c r="C11"/>
  <c r="C9"/>
  <c r="C18"/>
  <c r="C16"/>
  <c r="C14"/>
  <c r="C12"/>
  <c r="C10"/>
  <c r="C8"/>
  <c r="G27" i="2"/>
  <c r="G18"/>
  <c r="G16"/>
  <c r="G19"/>
  <c r="G17"/>
  <c r="G15"/>
  <c r="G13"/>
  <c r="G11"/>
  <c r="G14"/>
  <c r="G12"/>
  <c r="G10"/>
  <c r="G25"/>
  <c r="G28"/>
  <c r="G21"/>
  <c r="G29"/>
  <c r="G22"/>
  <c r="G23"/>
  <c r="G24"/>
  <c r="G30"/>
  <c r="G13" i="1"/>
  <c r="G17"/>
  <c r="G19"/>
  <c r="G16"/>
  <c r="G15"/>
  <c r="G14"/>
  <c r="G18"/>
  <c r="C17" i="2"/>
  <c r="C15"/>
  <c r="C12"/>
  <c r="C30"/>
  <c r="C13"/>
  <c r="C10"/>
  <c r="C25"/>
  <c r="C14"/>
  <c r="C28"/>
  <c r="C21"/>
  <c r="C11"/>
  <c r="C27"/>
  <c r="C23"/>
  <c r="C24"/>
  <c r="C22"/>
  <c r="C18"/>
  <c r="C19"/>
  <c r="C16"/>
  <c r="G12" i="1"/>
  <c r="G8"/>
  <c r="G10"/>
  <c r="G11"/>
  <c r="G9"/>
  <c r="C21" l="1"/>
  <c r="G8" i="2"/>
  <c r="G6" s="1"/>
  <c r="G21" i="1"/>
  <c r="I21"/>
  <c r="C8" i="2"/>
  <c r="C6" s="1"/>
</calcChain>
</file>

<file path=xl/sharedStrings.xml><?xml version="1.0" encoding="utf-8"?>
<sst xmlns="http://schemas.openxmlformats.org/spreadsheetml/2006/main" count="76" uniqueCount="44">
  <si>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</si>
  <si>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</si>
  <si>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</si>
  <si>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</si>
  <si>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</si>
  <si>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</si>
  <si>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</si>
  <si>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</si>
  <si>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</si>
  <si>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</si>
  <si>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</si>
  <si>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</si>
  <si>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</si>
  <si>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</si>
  <si>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</si>
  <si>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</si>
  <si>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</si>
  <si>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</si>
  <si>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</si>
  <si>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</si>
  <si>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</si>
  <si>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</si>
  <si>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</si>
  <si>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</si>
  <si>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</si>
  <si>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 xml:space="preserve">Contribuciones a la Seguridad y Previsión Social 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</si>
  <si>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</si>
  <si>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</si>
  <si>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</si>
  <si>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</si>
  <si>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</si>
  <si>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</si>
  <si>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Devengado</t>
  </si>
  <si>
    <t xml:space="preserve">Aprobado </t>
  </si>
  <si>
    <t>Diferencia/gasto-reporte</t>
  </si>
  <si>
    <t>ok</t>
  </si>
  <si>
    <t xml:space="preserve"> </t>
  </si>
  <si>
    <t>reporte</t>
  </si>
  <si>
    <t>gasto</t>
  </si>
  <si>
    <t>Presupuesto Ciudadano 2021, Ingresos</t>
  </si>
  <si>
    <t>%</t>
  </si>
  <si>
    <t>Y totales</t>
  </si>
  <si>
    <t xml:space="preserve">Presupuesto Ciudadano 2022, Ingresos </t>
  </si>
  <si>
    <t>Presupuesto Ciudadano 2022, Ingresos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</si>
</sst>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%"/>
    <numFmt numFmtId="166" formatCode="&quot;Q&quot;#,##0.0"/>
    <numFmt numFmtId="167" formatCode="&quot;Q&quot;#,##0.00"/>
    <numFmt numFmtId="168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FAD59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3" borderId="0" xfId="0" applyNumberFormat="1" applyFont="1" applyFill="1"/>
    <xf numFmtId="164" fontId="2" fillId="3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3" borderId="0" xfId="0" applyNumberFormat="1" applyFont="1" applyFill="1"/>
    <xf numFmtId="164" fontId="2" fillId="2" borderId="0" xfId="0" applyNumberFormat="1" applyFont="1" applyFill="1"/>
    <xf numFmtId="0" fontId="0" fillId="2" borderId="0" xfId="0" applyFill="1"/>
    <xf numFmtId="9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/>
    <xf numFmtId="165" fontId="1" fillId="0" borderId="0" xfId="0" applyNumberFormat="1" applyFont="1"/>
    <xf numFmtId="165" fontId="2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 applyBorder="1"/>
    <xf numFmtId="0" fontId="1" fillId="12" borderId="0" xfId="0" applyFont="1" applyFill="1" applyAlignment="1">
      <alignment horizontal="center"/>
    </xf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0" fontId="1" fillId="0" borderId="0" xfId="0" applyFont="1" applyAlignment="1">
      <alignment horizontal="center"/>
    </xf>
    <xf numFmtId="165" fontId="0" fillId="16" borderId="0" xfId="0" applyNumberForma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167" fontId="2" fillId="9" borderId="0" xfId="0" applyNumberFormat="1" applyFont="1" applyFill="1"/>
    <xf numFmtId="167" fontId="0" fillId="0" borderId="0" xfId="0" applyNumberFormat="1"/>
    <xf numFmtId="167" fontId="1" fillId="8" borderId="0" xfId="0" applyNumberFormat="1" applyFont="1" applyFill="1"/>
    <xf numFmtId="167" fontId="0" fillId="8" borderId="0" xfId="0" applyNumberFormat="1" applyFill="1"/>
    <xf numFmtId="167" fontId="0" fillId="10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  <xf numFmtId="167" fontId="0" fillId="16" borderId="0" xfId="0" applyNumberFormat="1" applyFill="1"/>
    <xf numFmtId="167" fontId="0" fillId="7" borderId="0" xfId="0" applyNumberFormat="1" applyFill="1"/>
    <xf numFmtId="167" fontId="0" fillId="11" borderId="0" xfId="0" applyNumberFormat="1" applyFill="1"/>
    <xf numFmtId="167" fontId="0" fillId="12" borderId="0" xfId="0" applyNumberFormat="1" applyFill="1"/>
    <xf numFmtId="167" fontId="0" fillId="13" borderId="0" xfId="0" applyNumberForma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/>
    <xf numFmtId="0" fontId="1" fillId="0" borderId="0" xfId="0" applyFont="1" applyAlignment="1">
      <alignment horizontal="center"/>
    </xf>
    <xf numFmtId="0" fontId="6" fillId="16" borderId="0" xfId="0" applyFont="1" applyFill="1"/>
    <xf numFmtId="0" fontId="7" fillId="16" borderId="0" xfId="0" applyFont="1" applyFill="1"/>
    <xf numFmtId="164" fontId="2" fillId="17" borderId="0" xfId="0" applyNumberFormat="1" applyFont="1" applyFill="1"/>
    <xf numFmtId="0" fontId="1" fillId="4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165" fontId="1" fillId="4" borderId="0" xfId="0" applyNumberFormat="1" applyFont="1" applyFill="1"/>
    <xf numFmtId="165" fontId="2" fillId="4" borderId="0" xfId="0" applyNumberFormat="1" applyFont="1" applyFill="1"/>
    <xf numFmtId="164" fontId="2" fillId="4" borderId="0" xfId="0" applyNumberFormat="1" applyFont="1" applyFill="1"/>
    <xf numFmtId="164" fontId="1" fillId="4" borderId="0" xfId="0" applyNumberFormat="1" applyFont="1" applyFill="1"/>
    <xf numFmtId="164" fontId="1" fillId="4" borderId="0" xfId="0" applyNumberFormat="1" applyFont="1" applyFill="1" applyBorder="1"/>
    <xf numFmtId="164" fontId="2" fillId="18" borderId="0" xfId="0" applyNumberFormat="1" applyFont="1" applyFill="1"/>
    <xf numFmtId="166" fontId="0" fillId="0" borderId="0" xfId="0" applyNumberFormat="1" applyFill="1"/>
    <xf numFmtId="165" fontId="10" fillId="16" borderId="0" xfId="2" applyNumberFormat="1" applyFont="1" applyFill="1"/>
    <xf numFmtId="166" fontId="9" fillId="2" borderId="0" xfId="1" applyNumberFormat="1" applyFont="1" applyFill="1" applyAlignment="1"/>
    <xf numFmtId="166" fontId="11" fillId="0" borderId="0" xfId="0" applyNumberFormat="1" applyFont="1"/>
    <xf numFmtId="0" fontId="11" fillId="0" borderId="0" xfId="0" applyFont="1"/>
    <xf numFmtId="0" fontId="11" fillId="0" borderId="0" xfId="0" applyFont="1" applyFill="1"/>
    <xf numFmtId="164" fontId="11" fillId="0" borderId="0" xfId="0" applyNumberFormat="1" applyFont="1" applyFill="1"/>
    <xf numFmtId="166" fontId="0" fillId="2" borderId="0" xfId="0" applyNumberFormat="1" applyFill="1"/>
    <xf numFmtId="166" fontId="7" fillId="0" borderId="0" xfId="0" applyNumberFormat="1" applyFont="1" applyFill="1"/>
    <xf numFmtId="167" fontId="0" fillId="0" borderId="0" xfId="0" applyNumberFormat="1" applyFill="1"/>
    <xf numFmtId="167" fontId="11" fillId="0" borderId="0" xfId="0" applyNumberFormat="1" applyFont="1"/>
    <xf numFmtId="0" fontId="1" fillId="7" borderId="0" xfId="0" applyFont="1" applyFill="1" applyAlignment="1">
      <alignment horizontal="center"/>
    </xf>
    <xf numFmtId="167" fontId="0" fillId="19" borderId="0" xfId="0" applyNumberFormat="1" applyFill="1"/>
    <xf numFmtId="0" fontId="0" fillId="19" borderId="0" xfId="0" applyFill="1"/>
    <xf numFmtId="164" fontId="1" fillId="15" borderId="0" xfId="0" applyNumberFormat="1" applyFont="1" applyFill="1"/>
    <xf numFmtId="164" fontId="1" fillId="19" borderId="0" xfId="0" applyNumberFormat="1" applyFont="1" applyFill="1"/>
    <xf numFmtId="0" fontId="1" fillId="0" borderId="0" xfId="0" applyFont="1" applyAlignment="1">
      <alignment horizontal="left"/>
    </xf>
    <xf numFmtId="166" fontId="9" fillId="19" borderId="0" xfId="1" applyNumberFormat="1" applyFont="1" applyFill="1" applyAlignment="1"/>
    <xf numFmtId="164" fontId="0" fillId="2" borderId="0" xfId="0" applyNumberFormat="1" applyFill="1"/>
    <xf numFmtId="164" fontId="0" fillId="20" borderId="0" xfId="0" applyNumberFormat="1" applyFill="1"/>
    <xf numFmtId="16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/>
    <xf numFmtId="165" fontId="2" fillId="0" borderId="0" xfId="0" applyNumberFormat="1" applyFont="1"/>
    <xf numFmtId="0" fontId="5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66FFFF"/>
      <color rgb="FFD3FFA7"/>
      <color rgb="FFEBD7C3"/>
      <color rgb="FFE8D1BA"/>
      <color rgb="FFFAD59E"/>
      <color rgb="FFFFFFCC"/>
      <color rgb="FFCDFFF5"/>
      <color rgb="FFE6FFCD"/>
      <color rgb="FFF0FFE1"/>
      <color rgb="FFFDEC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2400"/>
              <a:t>Presupuesto</a:t>
            </a:r>
            <a:r>
              <a:rPr lang="es-ES" sz="2400" baseline="0"/>
              <a:t>  de Ingresos 2021 y  2022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30472654397116206"/>
          <c:y val="1.7232094776521271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434"/>
          <c:w val="0.8373177295755575"/>
          <c:h val="0.59750202468632585"/>
        </c:manualLayout>
      </c:layout>
      <c:barChart>
        <c:barDir val="col"/>
        <c:grouping val="clustered"/>
        <c:ser>
          <c:idx val="1"/>
          <c:order val="0"/>
          <c:tx>
            <c:v>Aprobado 2022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Ingresos!$B$8:$B$19</c:f>
              <c:numCache>
                <c:formatCode>#,##0.0</c:formatCode>
                <c:ptCount val="12"/>
                <c:pt idx="0">
                  <c:v>76315</c:v>
                </c:pt>
                <c:pt idx="1">
                  <c:v>15963.1</c:v>
                </c:pt>
                <c:pt idx="2">
                  <c:v>2451.5</c:v>
                </c:pt>
                <c:pt idx="3">
                  <c:v>695</c:v>
                </c:pt>
                <c:pt idx="4">
                  <c:v>225.8</c:v>
                </c:pt>
                <c:pt idx="5">
                  <c:v>6235.3</c:v>
                </c:pt>
                <c:pt idx="6">
                  <c:v>3686.4</c:v>
                </c:pt>
                <c:pt idx="7">
                  <c:v>449</c:v>
                </c:pt>
                <c:pt idx="8">
                  <c:v>192.5</c:v>
                </c:pt>
                <c:pt idx="9">
                  <c:v>14.1</c:v>
                </c:pt>
                <c:pt idx="10">
                  <c:v>1.8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Devengado 2021</c:v>
          </c:tx>
          <c:spPr>
            <a:solidFill>
              <a:srgbClr val="66FF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Ingresos!$D$8:$D$19</c:f>
              <c:numCache>
                <c:formatCode>#,##0.0</c:formatCode>
                <c:ptCount val="12"/>
                <c:pt idx="0">
                  <c:v>77990.8</c:v>
                </c:pt>
                <c:pt idx="1">
                  <c:v>17571.7</c:v>
                </c:pt>
                <c:pt idx="2">
                  <c:v>4642.8</c:v>
                </c:pt>
                <c:pt idx="3">
                  <c:v>683.2</c:v>
                </c:pt>
                <c:pt idx="4">
                  <c:v>124.1</c:v>
                </c:pt>
                <c:pt idx="5">
                  <c:v>0</c:v>
                </c:pt>
                <c:pt idx="6">
                  <c:v>2632.5</c:v>
                </c:pt>
                <c:pt idx="7">
                  <c:v>431</c:v>
                </c:pt>
                <c:pt idx="8">
                  <c:v>166.1</c:v>
                </c:pt>
                <c:pt idx="9">
                  <c:v>6.78</c:v>
                </c:pt>
                <c:pt idx="10">
                  <c:v>2.5</c:v>
                </c:pt>
                <c:pt idx="11">
                  <c:v>60.7</c:v>
                </c:pt>
              </c:numCache>
            </c:numRef>
          </c:val>
        </c:ser>
        <c:ser>
          <c:idx val="4"/>
          <c:order val="2"/>
          <c:tx>
            <c:v>Vigente 2021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Ingresos!$F$8:$F$19</c:f>
              <c:numCache>
                <c:formatCode>#,##0.0</c:formatCode>
                <c:ptCount val="12"/>
                <c:pt idx="0">
                  <c:v>64027.7</c:v>
                </c:pt>
                <c:pt idx="1">
                  <c:v>30047.9</c:v>
                </c:pt>
                <c:pt idx="2">
                  <c:v>5558.7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18.200000000000003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ser>
          <c:idx val="8"/>
          <c:order val="3"/>
          <c:tx>
            <c:v>Aprobado 2021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Ingresos!$H$8:$H$19</c:f>
              <c:numCache>
                <c:formatCode>#,##0.0</c:formatCode>
                <c:ptCount val="12"/>
                <c:pt idx="0">
                  <c:v>64027.7</c:v>
                </c:pt>
                <c:pt idx="1">
                  <c:v>30047.9</c:v>
                </c:pt>
                <c:pt idx="2">
                  <c:v>5558.7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18.200000000000003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axId val="71472256"/>
        <c:axId val="71473792"/>
      </c:barChart>
      <c:catAx>
        <c:axId val="71472256"/>
        <c:scaling>
          <c:orientation val="minMax"/>
        </c:scaling>
        <c:axPos val="b"/>
        <c:tickLblPos val="nextTo"/>
        <c:crossAx val="71473792"/>
        <c:crosses val="autoZero"/>
        <c:auto val="1"/>
        <c:lblAlgn val="ctr"/>
        <c:lblOffset val="100"/>
      </c:catAx>
      <c:valAx>
        <c:axId val="71473792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4722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noFill/>
      </c:spPr>
    </c:plotArea>
    <c:plotVisOnly val="1"/>
  </c:chart>
  <c:spPr>
    <a:noFill/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2400"/>
              <a:t>Presupuesto</a:t>
            </a:r>
            <a:r>
              <a:rPr lang="es-ES" sz="2400" baseline="0"/>
              <a:t>  de Ingresos 2021 y  2022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30472656853528096"/>
          <c:y val="1.0770059235325799E-2"/>
        </c:manualLayout>
      </c:layout>
    </c:title>
    <c:plotArea>
      <c:layout>
        <c:manualLayout>
          <c:layoutTarget val="inner"/>
          <c:xMode val="edge"/>
          <c:yMode val="edge"/>
          <c:x val="0.2154908709896709"/>
          <c:y val="0.1049361640780363"/>
          <c:w val="0.8373177295755575"/>
          <c:h val="0.59750202468632541"/>
        </c:manualLayout>
      </c:layout>
      <c:barChart>
        <c:barDir val="bar"/>
        <c:grouping val="clustered"/>
        <c:ser>
          <c:idx val="1"/>
          <c:order val="0"/>
          <c:tx>
            <c:v>Aprobado 2022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Ingresos!$B$8:$B$19</c:f>
              <c:numCache>
                <c:formatCode>#,##0.0</c:formatCode>
                <c:ptCount val="12"/>
                <c:pt idx="0">
                  <c:v>76315</c:v>
                </c:pt>
                <c:pt idx="1">
                  <c:v>15963.1</c:v>
                </c:pt>
                <c:pt idx="2">
                  <c:v>2451.5</c:v>
                </c:pt>
                <c:pt idx="3">
                  <c:v>695</c:v>
                </c:pt>
                <c:pt idx="4">
                  <c:v>225.8</c:v>
                </c:pt>
                <c:pt idx="5">
                  <c:v>6235.3</c:v>
                </c:pt>
                <c:pt idx="6">
                  <c:v>3686.4</c:v>
                </c:pt>
                <c:pt idx="7">
                  <c:v>449</c:v>
                </c:pt>
                <c:pt idx="8">
                  <c:v>192.5</c:v>
                </c:pt>
                <c:pt idx="9">
                  <c:v>14.1</c:v>
                </c:pt>
                <c:pt idx="10">
                  <c:v>1.8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Devengado 2021</c:v>
          </c:tx>
          <c:spPr>
            <a:solidFill>
              <a:srgbClr val="66FFF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Ingresos!$D$8:$D$19</c:f>
              <c:numCache>
                <c:formatCode>#,##0.0</c:formatCode>
                <c:ptCount val="12"/>
                <c:pt idx="0">
                  <c:v>77990.8</c:v>
                </c:pt>
                <c:pt idx="1">
                  <c:v>17571.7</c:v>
                </c:pt>
                <c:pt idx="2">
                  <c:v>4642.8</c:v>
                </c:pt>
                <c:pt idx="3">
                  <c:v>683.2</c:v>
                </c:pt>
                <c:pt idx="4">
                  <c:v>124.1</c:v>
                </c:pt>
                <c:pt idx="5">
                  <c:v>0</c:v>
                </c:pt>
                <c:pt idx="6">
                  <c:v>2632.5</c:v>
                </c:pt>
                <c:pt idx="7">
                  <c:v>431</c:v>
                </c:pt>
                <c:pt idx="8">
                  <c:v>166.1</c:v>
                </c:pt>
                <c:pt idx="9">
                  <c:v>6.78</c:v>
                </c:pt>
                <c:pt idx="10">
                  <c:v>2.5</c:v>
                </c:pt>
                <c:pt idx="11">
                  <c:v>60.7</c:v>
                </c:pt>
              </c:numCache>
            </c:numRef>
          </c:val>
        </c:ser>
        <c:ser>
          <c:idx val="4"/>
          <c:order val="2"/>
          <c:tx>
            <c:v>Vigente 2021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Ingresos!$F$8:$F$19</c:f>
              <c:numCache>
                <c:formatCode>#,##0.0</c:formatCode>
                <c:ptCount val="12"/>
                <c:pt idx="0">
                  <c:v>64027.7</c:v>
                </c:pt>
                <c:pt idx="1">
                  <c:v>30047.9</c:v>
                </c:pt>
                <c:pt idx="2">
                  <c:v>5558.7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18.200000000000003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ser>
          <c:idx val="8"/>
          <c:order val="3"/>
          <c:tx>
            <c:v>Aprobado 2021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Ingresos!$A$8:$A$19</c:f>
              <c:strCache>
                <c:ptCount val="12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  <c:pt idx="11">
                  <c:v>Transferencias de Capital </c:v>
                </c:pt>
              </c:strCache>
            </c:strRef>
          </c:cat>
          <c:val>
            <c:numRef>
              <c:f>Ingresos!$H$8:$H$19</c:f>
              <c:numCache>
                <c:formatCode>#,##0.0</c:formatCode>
                <c:ptCount val="12"/>
                <c:pt idx="0">
                  <c:v>64027.7</c:v>
                </c:pt>
                <c:pt idx="1">
                  <c:v>30047.9</c:v>
                </c:pt>
                <c:pt idx="2">
                  <c:v>5558.7</c:v>
                </c:pt>
                <c:pt idx="3">
                  <c:v>817.2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18.200000000000003</c:v>
                </c:pt>
                <c:pt idx="10">
                  <c:v>3.4</c:v>
                </c:pt>
                <c:pt idx="11">
                  <c:v>0</c:v>
                </c:pt>
              </c:numCache>
            </c:numRef>
          </c:val>
        </c:ser>
        <c:axId val="71879296"/>
        <c:axId val="71905664"/>
      </c:barChart>
      <c:catAx>
        <c:axId val="71879296"/>
        <c:scaling>
          <c:orientation val="minMax"/>
        </c:scaling>
        <c:axPos val="l"/>
        <c:tickLblPos val="nextTo"/>
        <c:crossAx val="71905664"/>
        <c:crosses val="autoZero"/>
        <c:auto val="1"/>
        <c:lblAlgn val="ctr"/>
        <c:lblOffset val="100"/>
      </c:catAx>
      <c:valAx>
        <c:axId val="71905664"/>
        <c:scaling>
          <c:orientation val="minMax"/>
        </c:scaling>
        <c:axPos val="b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8792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noFill/>
      </c:spPr>
    </c:plotArea>
    <c:plotVisOnly val="1"/>
  </c:chart>
  <c:spPr>
    <a:noFill/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Presupuesto de Ingresos 2022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(71.8%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</c:title>
    <c:plotArea>
      <c:layout>
        <c:manualLayout>
          <c:layoutTarget val="inner"/>
          <c:xMode val="edge"/>
          <c:yMode val="edge"/>
          <c:x val="0.12842952532972252"/>
          <c:y val="0.14608704120865162"/>
          <c:w val="0.83391693685348756"/>
          <c:h val="0.73452449673220011"/>
        </c:manualLayout>
      </c:layout>
      <c:ofPieChart>
        <c:ofPieType val="pie"/>
        <c:varyColors val="1"/>
        <c:ser>
          <c:idx val="1"/>
          <c:order val="0"/>
          <c:tx>
            <c:v>Aprobado 2022</c:v>
          </c:tx>
          <c:dPt>
            <c:idx val="2"/>
            <c:spPr>
              <a:solidFill>
                <a:srgbClr val="C0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3.8281897704163258E-2"/>
                  <c:y val="2.5154130180721872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6382334899989394"/>
                  <c:y val="0.1856786709534848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14396871621520141"/>
                  <c:y val="0.19114147496704695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.12023300154272004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15846054478089744"/>
                  <c:y val="3.4687720945548442E-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4.9056404714116875E-2"/>
                  <c:y val="0.10614047366884627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0.21003021329553526"/>
                  <c:y val="0.2525413546119992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7.7210898604793507E-2"/>
                  <c:y val="-0.1642955991698689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-1.2531521795069787E-3"/>
                  <c:y val="-0.19147225208404528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0"/>
              <c:layout>
                <c:manualLayout>
                  <c:x val="-8.2260858332305776E-3"/>
                  <c:y val="-5.5614997918175917E-3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Tributarios!$D$10:$D$19</c:f>
              <c:numCache>
                <c:formatCode>"Q"#,##0.0</c:formatCode>
                <c:ptCount val="10"/>
                <c:pt idx="0">
                  <c:v>26035.3</c:v>
                </c:pt>
                <c:pt idx="1">
                  <c:v>21</c:v>
                </c:pt>
                <c:pt idx="2">
                  <c:v>1757.9</c:v>
                </c:pt>
                <c:pt idx="3">
                  <c:v>3313.5</c:v>
                </c:pt>
                <c:pt idx="4">
                  <c:v>5732.1</c:v>
                </c:pt>
                <c:pt idx="5">
                  <c:v>35255.1</c:v>
                </c:pt>
                <c:pt idx="6">
                  <c:v>487.4</c:v>
                </c:pt>
                <c:pt idx="7">
                  <c:v>2110.7999999999997</c:v>
                </c:pt>
                <c:pt idx="8">
                  <c:v>162.80000000000001</c:v>
                </c:pt>
                <c:pt idx="9">
                  <c:v>1439.1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plotVisOnly val="1"/>
  </c:chart>
  <c:spPr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22</xdr:row>
      <xdr:rowOff>76200</xdr:rowOff>
    </xdr:from>
    <xdr:to>
      <xdr:col>9</xdr:col>
      <xdr:colOff>323849</xdr:colOff>
      <xdr:row>53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34636</xdr:rowOff>
    </xdr:from>
    <xdr:to>
      <xdr:col>8</xdr:col>
      <xdr:colOff>1056409</xdr:colOff>
      <xdr:row>87</xdr:row>
      <xdr:rowOff>25111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0.94023</cdr:y>
    </cdr:from>
    <cdr:to>
      <cdr:x>0.98741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5543550"/>
          <a:ext cx="11953876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0.94023</cdr:y>
    </cdr:from>
    <cdr:to>
      <cdr:x>0.98741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5690777"/>
          <a:ext cx="11970102" cy="352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31</xdr:row>
      <xdr:rowOff>189138</xdr:rowOff>
    </xdr:from>
    <xdr:to>
      <xdr:col>8</xdr:col>
      <xdr:colOff>619125</xdr:colOff>
      <xdr:row>74</xdr:row>
      <xdr:rowOff>27214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0.00825</cdr:x>
      <cdr:y>0.95086</cdr:y>
    </cdr:from>
    <cdr:to>
      <cdr:x>0.61135</cdr:x>
      <cdr:y>0.98662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4118" y="7634970"/>
          <a:ext cx="4688355" cy="287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s-ES" sz="1000" b="1"/>
            <a:t>Fuente: Ministerio de Finanzas Públicas. SICOIN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30"/>
  <sheetViews>
    <sheetView showGridLines="0" topLeftCell="A19" zoomScale="120" zoomScaleNormal="120" workbookViewId="0">
      <selection activeCell="D19" sqref="D19"/>
    </sheetView>
  </sheetViews>
  <sheetFormatPr baseColWidth="10" defaultRowHeight="15"/>
  <cols>
    <col min="1" max="1" width="50.42578125" customWidth="1"/>
    <col min="2" max="3" width="12.85546875" customWidth="1"/>
  </cols>
  <sheetData>
    <row r="1" spans="1:4" ht="21">
      <c r="A1" s="91" t="s">
        <v>39</v>
      </c>
      <c r="B1" s="18"/>
    </row>
    <row r="2" spans="1:4" ht="18.75">
      <c r="A2" s="89"/>
      <c r="B2" s="126" t="s">
        <v>30</v>
      </c>
      <c r="C2" s="126"/>
      <c r="D2" s="86"/>
    </row>
    <row r="3" spans="1:4">
      <c r="B3" s="36">
        <v>2022</v>
      </c>
      <c r="C3" s="36">
        <v>2022</v>
      </c>
      <c r="D3" s="87"/>
    </row>
    <row r="4" spans="1:4">
      <c r="C4" s="1"/>
      <c r="D4" s="107" t="s">
        <v>35</v>
      </c>
    </row>
    <row r="5" spans="1:4">
      <c r="B5" s="21">
        <f t="shared" ref="B5:C5" si="0">+B7+B20+B21+B22+B23+B24+B26+B27+B28+B29</f>
        <v>0.99999999999999989</v>
      </c>
      <c r="C5" s="70">
        <f t="shared" si="0"/>
        <v>106229.5</v>
      </c>
      <c r="D5" s="122" t="s">
        <v>40</v>
      </c>
    </row>
    <row r="6" spans="1:4">
      <c r="C6" s="59"/>
      <c r="D6" s="18"/>
    </row>
    <row r="7" spans="1:4">
      <c r="A7" t="s">
        <v>0</v>
      </c>
      <c r="B7" s="20">
        <f t="shared" ref="B7:C7" si="1">SUM(B8:B18)</f>
        <v>0.71839743197511041</v>
      </c>
      <c r="C7" s="71">
        <f t="shared" si="1"/>
        <v>76315</v>
      </c>
      <c r="D7" s="54">
        <f>SUM(D9:D18)</f>
        <v>100</v>
      </c>
    </row>
    <row r="8" spans="1:4">
      <c r="C8" s="1"/>
      <c r="D8" s="88"/>
    </row>
    <row r="9" spans="1:4">
      <c r="A9" s="23" t="s">
        <v>7</v>
      </c>
      <c r="B9" s="6">
        <f>+C9/$C$5</f>
        <v>0.24508540471337997</v>
      </c>
      <c r="C9" s="59">
        <f>+Tributarios!D10</f>
        <v>26035.3</v>
      </c>
      <c r="D9" s="88">
        <f>+C9/$C$7*100</f>
        <v>34.115573609382167</v>
      </c>
    </row>
    <row r="10" spans="1:4">
      <c r="A10" s="23" t="s">
        <v>8</v>
      </c>
      <c r="B10" s="6">
        <f t="shared" ref="B10:B29" si="2">+C10/$C$5</f>
        <v>1.9768520043867286E-4</v>
      </c>
      <c r="C10" s="59">
        <f>+Tributarios!D11</f>
        <v>21</v>
      </c>
      <c r="D10" s="88">
        <f t="shared" ref="D10:D18" si="3">+C10/$C$7*100</f>
        <v>2.7517526043372861E-2</v>
      </c>
    </row>
    <row r="11" spans="1:4">
      <c r="A11" s="23" t="s">
        <v>9</v>
      </c>
      <c r="B11" s="6">
        <f t="shared" si="2"/>
        <v>1.6548133992911575E-2</v>
      </c>
      <c r="C11" s="59">
        <f>+Tributarios!D12</f>
        <v>1757.9</v>
      </c>
      <c r="D11" s="88">
        <f t="shared" si="3"/>
        <v>2.3034790015069122</v>
      </c>
    </row>
    <row r="12" spans="1:4">
      <c r="A12" s="23" t="s">
        <v>10</v>
      </c>
      <c r="B12" s="6">
        <f t="shared" si="2"/>
        <v>3.11919005549306E-2</v>
      </c>
      <c r="C12" s="59">
        <f>+Tributarios!D13</f>
        <v>3313.5</v>
      </c>
      <c r="D12" s="88">
        <f t="shared" si="3"/>
        <v>4.3418725021293323</v>
      </c>
    </row>
    <row r="13" spans="1:4">
      <c r="A13" s="23" t="s">
        <v>24</v>
      </c>
      <c r="B13" s="6">
        <f t="shared" si="2"/>
        <v>5.3959587496881754E-2</v>
      </c>
      <c r="C13" s="59">
        <f>+Tributarios!D14</f>
        <v>5732.1</v>
      </c>
      <c r="D13" s="88">
        <f t="shared" si="3"/>
        <v>7.5111052872960755</v>
      </c>
    </row>
    <row r="14" spans="1:4">
      <c r="A14" s="23" t="s">
        <v>11</v>
      </c>
      <c r="B14" s="6">
        <f t="shared" si="2"/>
        <v>0.33187673857073596</v>
      </c>
      <c r="C14" s="59">
        <f>+Tributarios!D15</f>
        <v>35255.1</v>
      </c>
      <c r="D14" s="88">
        <f t="shared" si="3"/>
        <v>46.196815829129264</v>
      </c>
    </row>
    <row r="15" spans="1:4">
      <c r="A15" s="23" t="s">
        <v>12</v>
      </c>
      <c r="B15" s="6">
        <f t="shared" si="2"/>
        <v>4.5881793663718647E-3</v>
      </c>
      <c r="C15" s="59">
        <f>+Tributarios!D16</f>
        <v>487.4</v>
      </c>
      <c r="D15" s="88">
        <f t="shared" si="3"/>
        <v>0.63866867588285392</v>
      </c>
    </row>
    <row r="16" spans="1:4">
      <c r="A16" s="23" t="s">
        <v>13</v>
      </c>
      <c r="B16" s="6">
        <f t="shared" si="2"/>
        <v>1.9870186718378601E-2</v>
      </c>
      <c r="C16" s="59">
        <f>+Tributarios!D17</f>
        <v>2110.7999999999997</v>
      </c>
      <c r="D16" s="88">
        <f t="shared" si="3"/>
        <v>2.7659044748738775</v>
      </c>
    </row>
    <row r="17" spans="1:4">
      <c r="A17" s="23" t="s">
        <v>14</v>
      </c>
      <c r="B17" s="6">
        <f t="shared" si="2"/>
        <v>1.5325309824483783E-3</v>
      </c>
      <c r="C17" s="59">
        <f>+Tributarios!D18</f>
        <v>162.80000000000001</v>
      </c>
      <c r="D17" s="88">
        <f t="shared" si="3"/>
        <v>0.21332634475529061</v>
      </c>
    </row>
    <row r="18" spans="1:4">
      <c r="A18" s="23" t="s">
        <v>15</v>
      </c>
      <c r="B18" s="6">
        <f t="shared" si="2"/>
        <v>1.3547084378633053E-2</v>
      </c>
      <c r="C18" s="59">
        <f>+Tributarios!D19</f>
        <v>1439.1</v>
      </c>
      <c r="D18" s="88">
        <f t="shared" si="3"/>
        <v>1.8857367490008516</v>
      </c>
    </row>
    <row r="19" spans="1:4">
      <c r="B19" s="6"/>
      <c r="C19" s="1"/>
      <c r="D19" s="88"/>
    </row>
    <row r="20" spans="1:4">
      <c r="A20" t="s">
        <v>3</v>
      </c>
      <c r="B20" s="30">
        <f t="shared" si="2"/>
        <v>6.5424387764227449E-3</v>
      </c>
      <c r="C20" s="60">
        <f>+Ingresos!B11</f>
        <v>695</v>
      </c>
      <c r="D20" s="88"/>
    </row>
    <row r="21" spans="1:4">
      <c r="A21" t="s">
        <v>16</v>
      </c>
      <c r="B21" s="24">
        <f t="shared" si="2"/>
        <v>3.4702224899863035E-2</v>
      </c>
      <c r="C21" s="61">
        <f>+Ingresos!B14</f>
        <v>3686.4</v>
      </c>
      <c r="D21" s="88"/>
    </row>
    <row r="22" spans="1:4">
      <c r="A22" t="s">
        <v>17</v>
      </c>
      <c r="B22" s="25">
        <f t="shared" si="2"/>
        <v>4.2266978569982915E-3</v>
      </c>
      <c r="C22" s="62">
        <f>+Ingresos!B15</f>
        <v>449</v>
      </c>
      <c r="D22" s="88"/>
    </row>
    <row r="23" spans="1:4">
      <c r="A23" t="s">
        <v>18</v>
      </c>
      <c r="B23" s="26">
        <f t="shared" si="2"/>
        <v>1.8121143373545014E-3</v>
      </c>
      <c r="C23" s="63">
        <f>+Ingresos!B16</f>
        <v>192.5</v>
      </c>
      <c r="D23" s="88"/>
    </row>
    <row r="24" spans="1:4">
      <c r="A24" t="s">
        <v>19</v>
      </c>
      <c r="B24" s="27">
        <f t="shared" si="2"/>
        <v>2.258318075487506E-3</v>
      </c>
      <c r="C24" s="64">
        <f>+Ingresos!B12+Ingresos!B17</f>
        <v>239.9</v>
      </c>
      <c r="D24" s="88"/>
    </row>
    <row r="25" spans="1:4">
      <c r="A25" t="s">
        <v>31</v>
      </c>
      <c r="B25" s="51">
        <f t="shared" si="2"/>
        <v>0</v>
      </c>
      <c r="C25" s="65">
        <f>+Ingresos!B19</f>
        <v>0</v>
      </c>
      <c r="D25" s="88"/>
    </row>
    <row r="26" spans="1:4">
      <c r="A26" t="s">
        <v>20</v>
      </c>
      <c r="B26" s="22">
        <f t="shared" si="2"/>
        <v>1.6944445751886248E-5</v>
      </c>
      <c r="C26" s="66">
        <f>+Ingresos!B18</f>
        <v>1.8</v>
      </c>
      <c r="D26" s="88"/>
    </row>
    <row r="27" spans="1:4">
      <c r="A27" t="s">
        <v>21</v>
      </c>
      <c r="B27" s="25">
        <f t="shared" si="2"/>
        <v>5.8696501442631284E-2</v>
      </c>
      <c r="C27" s="67">
        <f>+Ingresos!B13</f>
        <v>6235.3</v>
      </c>
      <c r="D27" s="88"/>
    </row>
    <row r="28" spans="1:4">
      <c r="A28" t="s">
        <v>22</v>
      </c>
      <c r="B28" s="28">
        <f t="shared" si="2"/>
        <v>0.15026993443440853</v>
      </c>
      <c r="C28" s="68">
        <f>+Ingresos!B9</f>
        <v>15963.1</v>
      </c>
      <c r="D28" s="88"/>
    </row>
    <row r="29" spans="1:4">
      <c r="A29" t="s">
        <v>23</v>
      </c>
      <c r="B29" s="29">
        <f t="shared" si="2"/>
        <v>2.3077393755971742E-2</v>
      </c>
      <c r="C29" s="69">
        <f>+Ingresos!B10</f>
        <v>2451.5</v>
      </c>
      <c r="D29" s="88"/>
    </row>
    <row r="30" spans="1:4">
      <c r="D30" s="18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K26"/>
  <sheetViews>
    <sheetView showGridLines="0" tabSelected="1" zoomScale="110" zoomScaleNormal="110" workbookViewId="0">
      <selection activeCell="A2" sqref="A2"/>
    </sheetView>
  </sheetViews>
  <sheetFormatPr baseColWidth="10" defaultRowHeight="15"/>
  <cols>
    <col min="1" max="1" width="43.7109375" customWidth="1"/>
    <col min="2" max="5" width="19.5703125" customWidth="1"/>
    <col min="6" max="6" width="16" customWidth="1"/>
    <col min="7" max="7" width="12.42578125" customWidth="1"/>
    <col min="8" max="8" width="15.28515625" customWidth="1"/>
    <col min="9" max="9" width="17.28515625" customWidth="1"/>
  </cols>
  <sheetData>
    <row r="1" spans="1:11">
      <c r="D1" s="105">
        <f>+D4-D3</f>
        <v>-11308.199999999997</v>
      </c>
      <c r="E1" s="106" t="s">
        <v>34</v>
      </c>
    </row>
    <row r="2" spans="1:11" ht="21">
      <c r="A2" s="91" t="s">
        <v>43</v>
      </c>
      <c r="B2" s="18"/>
      <c r="C2" s="18"/>
      <c r="D2" s="104">
        <f>+D4-D3</f>
        <v>-11308.199999999997</v>
      </c>
      <c r="E2" s="108" t="s">
        <v>35</v>
      </c>
      <c r="F2" s="102">
        <f>+F3-F4</f>
        <v>239.30000000000291</v>
      </c>
      <c r="G2" s="88"/>
      <c r="H2" s="18"/>
      <c r="I2" s="18"/>
      <c r="J2" s="18"/>
    </row>
    <row r="3" spans="1:11" ht="21">
      <c r="A3" s="85"/>
      <c r="B3" s="108"/>
      <c r="C3" s="107"/>
      <c r="D3" s="119">
        <v>104312.2</v>
      </c>
      <c r="E3" s="18" t="s">
        <v>37</v>
      </c>
      <c r="F3" s="108">
        <v>107760.7</v>
      </c>
      <c r="G3" s="88"/>
      <c r="H3" s="107" t="s">
        <v>35</v>
      </c>
      <c r="I3" s="18"/>
    </row>
    <row r="4" spans="1:11">
      <c r="B4" s="117">
        <v>106229.5</v>
      </c>
      <c r="C4" s="90"/>
      <c r="D4" s="116">
        <v>93004</v>
      </c>
      <c r="E4" s="118" t="s">
        <v>38</v>
      </c>
      <c r="F4" s="117">
        <v>107521.4</v>
      </c>
      <c r="G4" s="5"/>
      <c r="H4" s="117">
        <v>107521.4</v>
      </c>
      <c r="I4" s="58"/>
    </row>
    <row r="5" spans="1:11">
      <c r="A5" s="50"/>
      <c r="B5" s="127" t="s">
        <v>33</v>
      </c>
      <c r="C5" s="127"/>
      <c r="D5" s="130" t="s">
        <v>32</v>
      </c>
      <c r="E5" s="130"/>
      <c r="F5" s="128" t="s">
        <v>29</v>
      </c>
      <c r="G5" s="128"/>
      <c r="H5" s="129" t="s">
        <v>30</v>
      </c>
      <c r="I5" s="129"/>
    </row>
    <row r="6" spans="1:11">
      <c r="A6" s="3"/>
      <c r="B6" s="9">
        <v>2022</v>
      </c>
      <c r="C6" s="14">
        <v>20.22</v>
      </c>
      <c r="D6" s="94">
        <v>2021</v>
      </c>
      <c r="E6" s="95">
        <v>20.21</v>
      </c>
      <c r="F6" s="10">
        <v>2021</v>
      </c>
      <c r="G6" s="34">
        <v>20.21</v>
      </c>
      <c r="H6" s="31">
        <v>2021</v>
      </c>
      <c r="I6" s="32">
        <v>20.21</v>
      </c>
    </row>
    <row r="7" spans="1:11">
      <c r="B7" s="93">
        <f>+B21</f>
        <v>106229.50000000001</v>
      </c>
      <c r="C7" s="57"/>
      <c r="D7" s="93">
        <f>+D21</f>
        <v>104312.18000000001</v>
      </c>
      <c r="F7" s="101">
        <f>+F21</f>
        <v>107521.39999999998</v>
      </c>
      <c r="H7" s="93">
        <f>+H21</f>
        <v>107521.39999999998</v>
      </c>
    </row>
    <row r="8" spans="1:11">
      <c r="A8" s="2" t="s">
        <v>0</v>
      </c>
      <c r="B8" s="7">
        <v>76315</v>
      </c>
      <c r="C8" s="15">
        <f>+B8/$B$21</f>
        <v>0.71839743197511041</v>
      </c>
      <c r="D8" s="99">
        <v>77990.8</v>
      </c>
      <c r="E8" s="96">
        <f>+D8/$D$21</f>
        <v>0.74766724269399798</v>
      </c>
      <c r="F8" s="7">
        <v>64027.7</v>
      </c>
      <c r="G8" s="46">
        <f t="shared" ref="G8:G19" si="0">+F8/$F$21</f>
        <v>0.59548796797660752</v>
      </c>
      <c r="H8" s="7">
        <v>64027.7</v>
      </c>
      <c r="I8" s="48">
        <f>+H8/$H$21</f>
        <v>0.59548796797660752</v>
      </c>
      <c r="J8" s="54"/>
      <c r="K8" s="54"/>
    </row>
    <row r="9" spans="1:11">
      <c r="A9" s="2" t="s">
        <v>2</v>
      </c>
      <c r="B9" s="7">
        <v>15963.1</v>
      </c>
      <c r="C9" s="15">
        <f t="shared" ref="C9:C19" si="1">+B9/$B$21</f>
        <v>0.1502699344344085</v>
      </c>
      <c r="D9" s="99">
        <v>17571.7</v>
      </c>
      <c r="E9" s="96">
        <f t="shared" ref="E9:E19" si="2">+D9/$D$21</f>
        <v>0.16845300328302984</v>
      </c>
      <c r="F9" s="7">
        <v>30047.9</v>
      </c>
      <c r="G9" s="46">
        <f t="shared" si="0"/>
        <v>0.27945971685636539</v>
      </c>
      <c r="H9" s="7">
        <v>30047.9</v>
      </c>
      <c r="I9" s="48">
        <f t="shared" ref="I9:I19" si="3">+H9/$H$21</f>
        <v>0.27945971685636539</v>
      </c>
      <c r="J9" s="54"/>
      <c r="K9" s="54"/>
    </row>
    <row r="10" spans="1:11">
      <c r="A10" s="2" t="s">
        <v>1</v>
      </c>
      <c r="B10" s="7">
        <v>2451.5</v>
      </c>
      <c r="C10" s="15">
        <f t="shared" si="1"/>
        <v>2.3077393755971738E-2</v>
      </c>
      <c r="D10" s="99">
        <v>4642.8</v>
      </c>
      <c r="E10" s="96">
        <f t="shared" si="2"/>
        <v>4.4508704544378226E-2</v>
      </c>
      <c r="F10" s="7">
        <v>5558.7</v>
      </c>
      <c r="G10" s="46">
        <f t="shared" si="0"/>
        <v>5.1698545591854279E-2</v>
      </c>
      <c r="H10" s="7">
        <v>5558.7</v>
      </c>
      <c r="I10" s="48">
        <f t="shared" si="3"/>
        <v>5.1698545591854279E-2</v>
      </c>
      <c r="J10" s="54"/>
      <c r="K10" s="54"/>
    </row>
    <row r="11" spans="1:11">
      <c r="A11" s="2" t="s">
        <v>3</v>
      </c>
      <c r="B11" s="7">
        <v>695</v>
      </c>
      <c r="C11" s="15">
        <f t="shared" si="1"/>
        <v>6.5424387764227441E-3</v>
      </c>
      <c r="D11" s="99">
        <v>683.2</v>
      </c>
      <c r="E11" s="96">
        <f t="shared" si="2"/>
        <v>6.5495707212714759E-3</v>
      </c>
      <c r="F11" s="7">
        <v>817.2</v>
      </c>
      <c r="G11" s="46">
        <f t="shared" si="0"/>
        <v>7.6003474657138038E-3</v>
      </c>
      <c r="H11" s="7">
        <v>817.2</v>
      </c>
      <c r="I11" s="48">
        <f t="shared" si="3"/>
        <v>7.6003474657138038E-3</v>
      </c>
      <c r="J11" s="54"/>
      <c r="K11" s="54"/>
    </row>
    <row r="12" spans="1:11">
      <c r="A12" s="2" t="s">
        <v>4</v>
      </c>
      <c r="B12" s="7">
        <v>225.8</v>
      </c>
      <c r="C12" s="15">
        <f t="shared" si="1"/>
        <v>2.1255865837643967E-3</v>
      </c>
      <c r="D12" s="99">
        <v>124.1</v>
      </c>
      <c r="E12" s="96">
        <f t="shared" si="2"/>
        <v>1.1896980774440721E-3</v>
      </c>
      <c r="F12" s="7">
        <v>254.5</v>
      </c>
      <c r="G12" s="46">
        <f t="shared" si="0"/>
        <v>2.3669706681646633E-3</v>
      </c>
      <c r="H12" s="7">
        <v>254.5</v>
      </c>
      <c r="I12" s="48">
        <f t="shared" si="3"/>
        <v>2.3669706681646633E-3</v>
      </c>
      <c r="J12" s="54"/>
      <c r="K12" s="54"/>
    </row>
    <row r="13" spans="1:11">
      <c r="A13" s="2" t="s">
        <v>5</v>
      </c>
      <c r="B13" s="35">
        <v>6235.3</v>
      </c>
      <c r="C13" s="15">
        <f t="shared" si="1"/>
        <v>5.8696501442631277E-2</v>
      </c>
      <c r="D13" s="100">
        <v>0</v>
      </c>
      <c r="E13" s="96">
        <f t="shared" si="2"/>
        <v>0</v>
      </c>
      <c r="F13" s="35">
        <v>3367.4</v>
      </c>
      <c r="G13" s="46">
        <f t="shared" si="0"/>
        <v>3.131841661287893E-2</v>
      </c>
      <c r="H13" s="35">
        <v>3367.4</v>
      </c>
      <c r="I13" s="48">
        <f t="shared" si="3"/>
        <v>3.131841661287893E-2</v>
      </c>
      <c r="J13" s="55"/>
      <c r="K13" s="55"/>
    </row>
    <row r="14" spans="1:11">
      <c r="A14" s="2" t="s">
        <v>25</v>
      </c>
      <c r="B14" s="35">
        <v>3686.4</v>
      </c>
      <c r="C14" s="15">
        <f t="shared" si="1"/>
        <v>3.4702224899863028E-2</v>
      </c>
      <c r="D14" s="100">
        <v>2632.5</v>
      </c>
      <c r="E14" s="96">
        <f t="shared" si="2"/>
        <v>2.5236746082768088E-2</v>
      </c>
      <c r="F14" s="35">
        <v>2587.1999999999998</v>
      </c>
      <c r="G14" s="46">
        <f t="shared" si="0"/>
        <v>2.4062186690277473E-2</v>
      </c>
      <c r="H14" s="35">
        <v>2587.1999999999998</v>
      </c>
      <c r="I14" s="48">
        <f t="shared" si="3"/>
        <v>2.4062186690277473E-2</v>
      </c>
      <c r="J14" s="55"/>
      <c r="K14" s="55"/>
    </row>
    <row r="15" spans="1:11">
      <c r="A15" s="2" t="s">
        <v>26</v>
      </c>
      <c r="B15" s="35">
        <v>449</v>
      </c>
      <c r="C15" s="15">
        <f t="shared" si="1"/>
        <v>4.2266978569982907E-3</v>
      </c>
      <c r="D15" s="100">
        <v>431</v>
      </c>
      <c r="E15" s="96">
        <f t="shared" si="2"/>
        <v>4.1318281335890016E-3</v>
      </c>
      <c r="F15" s="35">
        <v>415.7</v>
      </c>
      <c r="G15" s="46">
        <f t="shared" si="0"/>
        <v>3.8662070992379199E-3</v>
      </c>
      <c r="H15" s="35">
        <v>415.7</v>
      </c>
      <c r="I15" s="48">
        <f t="shared" si="3"/>
        <v>3.8662070992379199E-3</v>
      </c>
      <c r="J15" s="55"/>
      <c r="K15" s="55"/>
    </row>
    <row r="16" spans="1:11">
      <c r="A16" s="2" t="s">
        <v>18</v>
      </c>
      <c r="B16" s="35">
        <v>192.5</v>
      </c>
      <c r="C16" s="15">
        <f t="shared" si="1"/>
        <v>1.8121143373545012E-3</v>
      </c>
      <c r="D16" s="100">
        <v>166.1</v>
      </c>
      <c r="E16" s="96">
        <f t="shared" si="2"/>
        <v>1.5923356217845317E-3</v>
      </c>
      <c r="F16" s="35">
        <v>423.5</v>
      </c>
      <c r="G16" s="46">
        <f t="shared" si="0"/>
        <v>3.9387507975156581E-3</v>
      </c>
      <c r="H16" s="35">
        <v>423.5</v>
      </c>
      <c r="I16" s="48">
        <f t="shared" si="3"/>
        <v>3.9387507975156581E-3</v>
      </c>
      <c r="J16" s="55"/>
      <c r="K16" s="55"/>
    </row>
    <row r="17" spans="1:11">
      <c r="A17" s="2" t="s">
        <v>19</v>
      </c>
      <c r="B17" s="35">
        <v>14.1</v>
      </c>
      <c r="C17" s="15">
        <f t="shared" si="1"/>
        <v>1.327314917231089E-4</v>
      </c>
      <c r="D17" s="100">
        <f>6.7+0.08</f>
        <v>6.78</v>
      </c>
      <c r="E17" s="96">
        <f t="shared" si="2"/>
        <v>6.4997203586388471E-5</v>
      </c>
      <c r="F17" s="35">
        <f>17.6+0.6</f>
        <v>18.200000000000003</v>
      </c>
      <c r="G17" s="46">
        <f t="shared" si="0"/>
        <v>1.6926862931472252E-4</v>
      </c>
      <c r="H17" s="35">
        <f>17.6+0.6</f>
        <v>18.200000000000003</v>
      </c>
      <c r="I17" s="48">
        <f t="shared" si="3"/>
        <v>1.6926862931472252E-4</v>
      </c>
      <c r="J17" s="55"/>
      <c r="K17" s="55"/>
    </row>
    <row r="18" spans="1:11">
      <c r="A18" s="2" t="s">
        <v>27</v>
      </c>
      <c r="B18" s="35">
        <v>1.8</v>
      </c>
      <c r="C18" s="15">
        <f t="shared" si="1"/>
        <v>1.6944445751886244E-5</v>
      </c>
      <c r="D18" s="100">
        <v>2.5</v>
      </c>
      <c r="E18" s="96">
        <f t="shared" si="2"/>
        <v>2.3966520496455924E-5</v>
      </c>
      <c r="F18" s="35">
        <v>3.4</v>
      </c>
      <c r="G18" s="46">
        <f t="shared" si="0"/>
        <v>3.1621612069783319E-5</v>
      </c>
      <c r="H18" s="35">
        <v>3.4</v>
      </c>
      <c r="I18" s="48">
        <f t="shared" si="3"/>
        <v>3.1621612069783319E-5</v>
      </c>
      <c r="J18" s="56"/>
      <c r="K18" s="55"/>
    </row>
    <row r="19" spans="1:11">
      <c r="A19" s="2" t="s">
        <v>28</v>
      </c>
      <c r="B19" s="8">
        <v>0</v>
      </c>
      <c r="C19" s="15">
        <f t="shared" si="1"/>
        <v>0</v>
      </c>
      <c r="D19" s="100">
        <v>60.7</v>
      </c>
      <c r="E19" s="96">
        <f t="shared" si="2"/>
        <v>5.8190711765394984E-4</v>
      </c>
      <c r="F19" s="8">
        <v>0</v>
      </c>
      <c r="G19" s="46">
        <f t="shared" si="0"/>
        <v>0</v>
      </c>
      <c r="H19" s="8">
        <v>0</v>
      </c>
      <c r="I19" s="48">
        <f t="shared" si="3"/>
        <v>0</v>
      </c>
      <c r="J19" s="55"/>
      <c r="K19" s="55"/>
    </row>
    <row r="20" spans="1:11">
      <c r="A20" s="2"/>
      <c r="B20" s="4"/>
      <c r="C20" s="16"/>
      <c r="D20" s="16"/>
      <c r="E20" s="16"/>
      <c r="F20" s="4"/>
      <c r="G20" s="16"/>
      <c r="H20" s="4"/>
      <c r="I20" s="16"/>
      <c r="J20" s="54"/>
      <c r="K20" s="18"/>
    </row>
    <row r="21" spans="1:11">
      <c r="A21" s="3" t="s">
        <v>6</v>
      </c>
      <c r="B21" s="11">
        <f>SUM(B8:B20)</f>
        <v>106229.50000000001</v>
      </c>
      <c r="C21" s="17">
        <f>SUM(C8:C19)</f>
        <v>0.99999999999999989</v>
      </c>
      <c r="D21" s="98">
        <f>SUM(D8:D20)</f>
        <v>104312.18000000001</v>
      </c>
      <c r="E21" s="97">
        <f>SUM(E8:E19)</f>
        <v>1</v>
      </c>
      <c r="F21" s="12">
        <f>SUM(F8:F20)</f>
        <v>107521.39999999998</v>
      </c>
      <c r="G21" s="47">
        <f>SUM(G8:G19)</f>
        <v>1.0000000000000002</v>
      </c>
      <c r="H21" s="33">
        <f>SUM(H8:H19)</f>
        <v>107521.39999999998</v>
      </c>
      <c r="I21" s="49">
        <f>SUM(I8:I19)</f>
        <v>1.0000000000000002</v>
      </c>
      <c r="J21" s="57"/>
      <c r="K21" s="18"/>
    </row>
    <row r="22" spans="1:11">
      <c r="A22" s="2"/>
      <c r="B22" s="1"/>
      <c r="C22" s="1"/>
      <c r="D22" s="120"/>
      <c r="E22" s="1"/>
      <c r="F22" s="121"/>
      <c r="G22" s="1"/>
      <c r="H22" s="120"/>
      <c r="I22" s="1"/>
    </row>
    <row r="23" spans="1:11">
      <c r="B23" s="1"/>
      <c r="C23" s="1"/>
      <c r="D23" s="1"/>
      <c r="E23" s="1"/>
      <c r="F23" s="1"/>
      <c r="G23" s="1"/>
      <c r="H23" s="1"/>
      <c r="I23" s="1"/>
    </row>
    <row r="24" spans="1:11">
      <c r="A24" s="19"/>
      <c r="B24" s="1"/>
      <c r="C24" s="1"/>
      <c r="D24" s="1"/>
      <c r="E24" s="1"/>
      <c r="F24" s="1"/>
      <c r="G24" s="1"/>
      <c r="H24" s="1"/>
      <c r="I24" s="1"/>
    </row>
    <row r="25" spans="1:11">
      <c r="B25" s="1"/>
      <c r="C25" s="1"/>
      <c r="D25" s="1"/>
      <c r="E25" s="1"/>
      <c r="F25" s="1"/>
      <c r="G25" s="1"/>
    </row>
    <row r="26" spans="1:11">
      <c r="B26" s="1"/>
      <c r="C26" s="1"/>
      <c r="D26" s="1"/>
      <c r="E26" s="1"/>
      <c r="F26" s="1"/>
      <c r="G26" s="1"/>
    </row>
  </sheetData>
  <mergeCells count="4">
    <mergeCell ref="B5:C5"/>
    <mergeCell ref="F5:G5"/>
    <mergeCell ref="H5:I5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31"/>
  <sheetViews>
    <sheetView showGridLines="0" zoomScale="140" zoomScaleNormal="140" workbookViewId="0">
      <selection activeCell="A4" sqref="A4"/>
    </sheetView>
  </sheetViews>
  <sheetFormatPr baseColWidth="10" defaultRowHeight="15"/>
  <cols>
    <col min="1" max="1" width="41.85546875" customWidth="1"/>
    <col min="2" max="2" width="8.5703125" customWidth="1"/>
    <col min="3" max="3" width="9.28515625" customWidth="1"/>
    <col min="4" max="4" width="11.5703125" customWidth="1"/>
    <col min="5" max="7" width="12.85546875" customWidth="1"/>
    <col min="8" max="8" width="13.140625" customWidth="1"/>
    <col min="10" max="10" width="13.7109375" customWidth="1"/>
  </cols>
  <sheetData>
    <row r="1" spans="1:11" ht="18.75">
      <c r="A1" s="92" t="s">
        <v>42</v>
      </c>
      <c r="B1" s="92"/>
      <c r="C1" s="13"/>
      <c r="D1" s="1"/>
      <c r="E1" s="115"/>
      <c r="F1" s="114"/>
      <c r="G1" s="59"/>
      <c r="H1" s="111"/>
      <c r="I1" s="18"/>
      <c r="J1" s="18"/>
    </row>
    <row r="2" spans="1:11" ht="18.75">
      <c r="A2" s="89"/>
      <c r="B2" s="89"/>
      <c r="C2" s="18"/>
      <c r="D2" s="1"/>
      <c r="F2" s="112"/>
      <c r="G2" s="73"/>
      <c r="H2" s="112">
        <v>107760.7</v>
      </c>
      <c r="I2" s="18"/>
      <c r="J2" s="112">
        <v>87715</v>
      </c>
    </row>
    <row r="3" spans="1:11" ht="18.75">
      <c r="A3" s="110"/>
      <c r="B3" s="110"/>
      <c r="C3" s="126" t="s">
        <v>30</v>
      </c>
      <c r="D3" s="126"/>
      <c r="E3" s="132" t="s">
        <v>32</v>
      </c>
      <c r="F3" s="132"/>
      <c r="G3" s="131" t="s">
        <v>29</v>
      </c>
      <c r="H3" s="131"/>
      <c r="I3" s="127" t="s">
        <v>30</v>
      </c>
      <c r="J3" s="127"/>
      <c r="K3" s="86"/>
    </row>
    <row r="4" spans="1:11">
      <c r="A4" s="59"/>
      <c r="B4" s="59"/>
      <c r="C4" s="36">
        <v>2022</v>
      </c>
      <c r="D4" s="36">
        <v>2022</v>
      </c>
      <c r="E4" s="113">
        <v>2021</v>
      </c>
      <c r="F4" s="113">
        <v>2021</v>
      </c>
      <c r="G4" s="52">
        <v>2021</v>
      </c>
      <c r="H4" s="52">
        <v>2021</v>
      </c>
      <c r="I4" s="9">
        <v>2021</v>
      </c>
      <c r="J4" s="9">
        <v>2021</v>
      </c>
      <c r="K4" s="87"/>
    </row>
    <row r="5" spans="1:11">
      <c r="D5" s="1"/>
      <c r="E5" s="1" t="s">
        <v>36</v>
      </c>
      <c r="F5" s="1"/>
      <c r="G5" s="1"/>
      <c r="H5" s="1"/>
      <c r="J5" s="1"/>
      <c r="K5" s="18"/>
    </row>
    <row r="6" spans="1:11">
      <c r="C6" s="21">
        <f>+C8+C21+C22+C23+C24+C25+C27+C28+C29+C30+C26</f>
        <v>0.99999999999999989</v>
      </c>
      <c r="D6" s="70">
        <f t="shared" ref="D6" si="0">+D8+D21+D22+D23+D24+D25+D27+D28+D29+D30</f>
        <v>106229.5</v>
      </c>
      <c r="E6" s="21">
        <f>+E8+E21+E22+E23+E24+E25+E27+E28+E29+E30+E26</f>
        <v>0.97015273238629729</v>
      </c>
      <c r="F6" s="72">
        <f>+F8+F21+F22+F23+F24+F25+F26+F27+F28+F29+F30</f>
        <v>104312.18</v>
      </c>
      <c r="G6" s="21">
        <f>+G8+G21+G22+G23+G24+G25+G27+G28+G29+G30+G26</f>
        <v>1.0000000000000002</v>
      </c>
      <c r="H6" s="72">
        <f>+H8+H21+H22+H23+H24+H25+H26+H27+H28+H29+H30</f>
        <v>107521.39999999998</v>
      </c>
      <c r="I6" s="21">
        <f>+I8+I21+I22+I23+I24+I25+I27+I28+I29+I30+I26</f>
        <v>1.0000000000000002</v>
      </c>
      <c r="J6" s="72">
        <f>+J8+J21+J22+J23+J24+J25+J26+J27+J28+J29+J30</f>
        <v>107521.39999999998</v>
      </c>
      <c r="K6" s="57"/>
    </row>
    <row r="7" spans="1:11">
      <c r="A7" s="123" t="s">
        <v>41</v>
      </c>
      <c r="B7" s="123"/>
      <c r="D7" s="59"/>
      <c r="E7" s="59"/>
      <c r="F7" s="59"/>
      <c r="G7" s="1"/>
      <c r="H7" s="73"/>
      <c r="J7" s="1"/>
      <c r="K7" s="18"/>
    </row>
    <row r="8" spans="1:11">
      <c r="A8" t="s">
        <v>0</v>
      </c>
      <c r="B8" s="125">
        <f>SUM(B10:B19)</f>
        <v>1.0000000000000002</v>
      </c>
      <c r="C8" s="20">
        <f t="shared" ref="C8:I8" si="1">SUM(C9:C19)</f>
        <v>0.71839743197511041</v>
      </c>
      <c r="D8" s="71">
        <f t="shared" si="1"/>
        <v>76315</v>
      </c>
      <c r="E8" s="20">
        <f t="shared" si="1"/>
        <v>0.72535141841531103</v>
      </c>
      <c r="F8" s="74">
        <f t="shared" si="1"/>
        <v>77990.799999999988</v>
      </c>
      <c r="G8" s="20">
        <f t="shared" si="1"/>
        <v>0.59548796797660752</v>
      </c>
      <c r="H8" s="74">
        <f t="shared" si="1"/>
        <v>64027.700000000004</v>
      </c>
      <c r="I8" s="20">
        <f t="shared" si="1"/>
        <v>0.59548796797660752</v>
      </c>
      <c r="J8" s="71">
        <f t="shared" ref="J8" si="2">SUM(J9:J19)</f>
        <v>64027.700000000004</v>
      </c>
      <c r="K8" s="54"/>
    </row>
    <row r="9" spans="1:11">
      <c r="D9" s="1"/>
      <c r="E9" s="1"/>
      <c r="F9" s="1"/>
      <c r="G9" s="1"/>
      <c r="H9" s="73"/>
      <c r="J9" s="59"/>
      <c r="K9" s="88"/>
    </row>
    <row r="10" spans="1:11">
      <c r="A10" s="23" t="s">
        <v>7</v>
      </c>
      <c r="B10" s="6">
        <f>+D10/$D$8</f>
        <v>0.34115573609382166</v>
      </c>
      <c r="C10" s="6">
        <f>+D10/$D$6</f>
        <v>0.24508540471337997</v>
      </c>
      <c r="D10" s="109">
        <f>17577.8+3102+5355.5</f>
        <v>26035.3</v>
      </c>
      <c r="E10" s="6">
        <f>+F10/$H$6</f>
        <v>0.26682688283448697</v>
      </c>
      <c r="F10" s="75">
        <f>18518.8+4769.1+3.4+9+5389.3</f>
        <v>28689.600000000002</v>
      </c>
      <c r="G10" s="6">
        <f>+H10/$H$6</f>
        <v>0.19788060795339352</v>
      </c>
      <c r="H10" s="75">
        <f>14631.4+1625.7+5019.3</f>
        <v>21276.400000000001</v>
      </c>
      <c r="I10" s="6">
        <f>+J10/$J$6</f>
        <v>0.19788060795339352</v>
      </c>
      <c r="J10" s="75">
        <f>14631.4+1625.7+5019.3</f>
        <v>21276.400000000001</v>
      </c>
      <c r="K10" s="88"/>
    </row>
    <row r="11" spans="1:11">
      <c r="A11" s="23" t="s">
        <v>8</v>
      </c>
      <c r="B11" s="124">
        <f t="shared" ref="B11:B19" si="3">+D11/$D$8</f>
        <v>2.7517526043372863E-4</v>
      </c>
      <c r="C11" s="6">
        <f t="shared" ref="C11:C30" si="4">+D11/$D$6</f>
        <v>1.9768520043867286E-4</v>
      </c>
      <c r="D11" s="109">
        <f>0.9+20.1</f>
        <v>21</v>
      </c>
      <c r="E11" s="6">
        <f t="shared" ref="E11:E19" si="5">+F11/$H$6</f>
        <v>2.4460246983391219E-4</v>
      </c>
      <c r="F11" s="75">
        <f>1.8+24.5</f>
        <v>26.3</v>
      </c>
      <c r="G11" s="6">
        <f t="shared" ref="G11:G19" si="6">+H11/$H$6</f>
        <v>2.5948322845498667E-4</v>
      </c>
      <c r="H11" s="73">
        <v>27.9</v>
      </c>
      <c r="I11" s="6">
        <f t="shared" ref="I11:I30" si="7">+J11/$J$6</f>
        <v>2.5948322845498667E-4</v>
      </c>
      <c r="J11" s="109">
        <v>27.9</v>
      </c>
      <c r="K11" s="88"/>
    </row>
    <row r="12" spans="1:11">
      <c r="A12" s="23" t="s">
        <v>9</v>
      </c>
      <c r="B12" s="6">
        <f t="shared" si="3"/>
        <v>2.3034790015069122E-2</v>
      </c>
      <c r="C12" s="6">
        <f t="shared" si="4"/>
        <v>1.6548133992911575E-2</v>
      </c>
      <c r="D12" s="109">
        <v>1757.9</v>
      </c>
      <c r="E12" s="6">
        <f t="shared" si="5"/>
        <v>0</v>
      </c>
      <c r="F12" s="75">
        <v>0</v>
      </c>
      <c r="G12" s="6">
        <f t="shared" si="6"/>
        <v>8.7424456898812716E-3</v>
      </c>
      <c r="H12" s="73">
        <v>940</v>
      </c>
      <c r="I12" s="6">
        <f t="shared" si="7"/>
        <v>8.7424456898812716E-3</v>
      </c>
      <c r="J12" s="109">
        <v>940</v>
      </c>
      <c r="K12" s="88"/>
    </row>
    <row r="13" spans="1:11">
      <c r="A13" s="23" t="s">
        <v>10</v>
      </c>
      <c r="B13" s="6">
        <f t="shared" si="3"/>
        <v>4.3418725021293327E-2</v>
      </c>
      <c r="C13" s="6">
        <f t="shared" si="4"/>
        <v>3.11919005549306E-2</v>
      </c>
      <c r="D13" s="109">
        <v>3313.5</v>
      </c>
      <c r="E13" s="6">
        <f t="shared" si="5"/>
        <v>3.2415872561183175E-2</v>
      </c>
      <c r="F13" s="75">
        <v>3485.4</v>
      </c>
      <c r="G13" s="6">
        <f t="shared" si="6"/>
        <v>2.5191264250651501E-2</v>
      </c>
      <c r="H13" s="73">
        <v>2708.6</v>
      </c>
      <c r="I13" s="6">
        <f t="shared" si="7"/>
        <v>2.5190334203237685E-2</v>
      </c>
      <c r="J13" s="109">
        <v>2708.5</v>
      </c>
      <c r="K13" s="88"/>
    </row>
    <row r="14" spans="1:11">
      <c r="A14" s="23" t="s">
        <v>24</v>
      </c>
      <c r="B14" s="6">
        <f t="shared" si="3"/>
        <v>7.5111052872960757E-2</v>
      </c>
      <c r="C14" s="6">
        <f t="shared" si="4"/>
        <v>5.3959587496881754E-2</v>
      </c>
      <c r="D14" s="109">
        <f>1039.6+313.5+4046.4+44.3+108.3+180</f>
        <v>5732.1</v>
      </c>
      <c r="E14" s="6">
        <f t="shared" si="5"/>
        <v>5.3899037772945677E-2</v>
      </c>
      <c r="F14" s="75">
        <f>1058.7+332.6+4066.3+44.2+110.3+183.2</f>
        <v>5795.3</v>
      </c>
      <c r="G14" s="6">
        <f t="shared" si="6"/>
        <v>4.6892060557247213E-2</v>
      </c>
      <c r="H14" s="73">
        <v>5041.8999999999996</v>
      </c>
      <c r="I14" s="6">
        <f t="shared" si="7"/>
        <v>4.6892990604661032E-2</v>
      </c>
      <c r="J14" s="109">
        <v>5042</v>
      </c>
      <c r="K14" s="88"/>
    </row>
    <row r="15" spans="1:11">
      <c r="A15" s="23" t="s">
        <v>11</v>
      </c>
      <c r="B15" s="6">
        <f t="shared" si="3"/>
        <v>0.46196815829129267</v>
      </c>
      <c r="C15" s="6">
        <f t="shared" si="4"/>
        <v>0.33187673857073596</v>
      </c>
      <c r="D15" s="109">
        <f>16482.1+18773</f>
        <v>35255.1</v>
      </c>
      <c r="E15" s="6">
        <f t="shared" si="5"/>
        <v>0.34397989609510299</v>
      </c>
      <c r="F15" s="75">
        <f>16750.9+20234.3</f>
        <v>36985.199999999997</v>
      </c>
      <c r="G15" s="6">
        <f t="shared" si="6"/>
        <v>0.28896573147299054</v>
      </c>
      <c r="H15" s="73">
        <v>31070</v>
      </c>
      <c r="I15" s="6">
        <f t="shared" si="7"/>
        <v>0.28896573147299054</v>
      </c>
      <c r="J15" s="109">
        <v>31070</v>
      </c>
      <c r="K15" s="88"/>
    </row>
    <row r="16" spans="1:11">
      <c r="A16" s="23" t="s">
        <v>12</v>
      </c>
      <c r="B16" s="6">
        <f t="shared" si="3"/>
        <v>6.386686758828539E-3</v>
      </c>
      <c r="C16" s="6">
        <f t="shared" si="4"/>
        <v>4.5881793663718647E-3</v>
      </c>
      <c r="D16" s="109">
        <f>7.9+479.5</f>
        <v>487.4</v>
      </c>
      <c r="E16" s="6">
        <f t="shared" si="5"/>
        <v>5.1143307285805434E-3</v>
      </c>
      <c r="F16" s="111">
        <f>7.9+542</f>
        <v>549.9</v>
      </c>
      <c r="G16" s="6">
        <f t="shared" si="6"/>
        <v>4.7134802932253493E-3</v>
      </c>
      <c r="H16" s="73">
        <v>506.8</v>
      </c>
      <c r="I16" s="6">
        <f t="shared" si="7"/>
        <v>4.7134802932253493E-3</v>
      </c>
      <c r="J16" s="109">
        <v>506.8</v>
      </c>
      <c r="K16" s="88"/>
    </row>
    <row r="17" spans="1:11">
      <c r="A17" s="23" t="s">
        <v>13</v>
      </c>
      <c r="B17" s="6">
        <f t="shared" si="3"/>
        <v>2.7659044748738777E-2</v>
      </c>
      <c r="C17" s="6">
        <f t="shared" si="4"/>
        <v>1.9870186718378601E-2</v>
      </c>
      <c r="D17" s="109">
        <f>877.1+2.8+7.3+1223.6</f>
        <v>2110.7999999999997</v>
      </c>
      <c r="E17" s="6">
        <f t="shared" si="5"/>
        <v>2.0921416573816937E-2</v>
      </c>
      <c r="F17" s="73">
        <f>1000.6+3.1+7.3+1238.5</f>
        <v>2249.5</v>
      </c>
      <c r="G17" s="6">
        <f t="shared" si="6"/>
        <v>1.8254040590989333E-2</v>
      </c>
      <c r="H17" s="73">
        <v>1962.7</v>
      </c>
      <c r="I17" s="6">
        <f t="shared" si="7"/>
        <v>1.8254040590989333E-2</v>
      </c>
      <c r="J17" s="109">
        <v>1962.7</v>
      </c>
      <c r="K17" s="88"/>
    </row>
    <row r="18" spans="1:11">
      <c r="A18" s="23" t="s">
        <v>14</v>
      </c>
      <c r="B18" s="6">
        <f t="shared" si="3"/>
        <v>2.133263447552906E-3</v>
      </c>
      <c r="C18" s="6">
        <f t="shared" si="4"/>
        <v>1.5325309824483783E-3</v>
      </c>
      <c r="D18" s="109">
        <v>162.80000000000001</v>
      </c>
      <c r="E18" s="6">
        <f t="shared" si="5"/>
        <v>1.9456591897054915E-3</v>
      </c>
      <c r="F18" s="73">
        <v>209.2</v>
      </c>
      <c r="G18" s="6">
        <f t="shared" si="6"/>
        <v>3.1007780776664E-3</v>
      </c>
      <c r="H18" s="73">
        <v>333.4</v>
      </c>
      <c r="I18" s="6">
        <f t="shared" si="7"/>
        <v>3.1007780776664E-3</v>
      </c>
      <c r="J18" s="109">
        <v>333.4</v>
      </c>
      <c r="K18" s="88"/>
    </row>
    <row r="19" spans="1:11">
      <c r="A19" s="23" t="s">
        <v>15</v>
      </c>
      <c r="B19" s="6">
        <f t="shared" si="3"/>
        <v>1.8857367490008516E-2</v>
      </c>
      <c r="C19" s="6">
        <f t="shared" si="4"/>
        <v>1.3547084378633053E-2</v>
      </c>
      <c r="D19" s="109">
        <v>1439.1</v>
      </c>
      <c r="E19" s="6">
        <f t="shared" si="5"/>
        <v>3.7201896552686266E-6</v>
      </c>
      <c r="F19" s="73">
        <v>0.4</v>
      </c>
      <c r="G19" s="6">
        <f t="shared" si="6"/>
        <v>1.4880758621074505E-3</v>
      </c>
      <c r="H19" s="73">
        <v>160</v>
      </c>
      <c r="I19" s="6">
        <f t="shared" si="7"/>
        <v>1.4880758621074505E-3</v>
      </c>
      <c r="J19" s="109">
        <v>160</v>
      </c>
      <c r="K19" s="88"/>
    </row>
    <row r="20" spans="1:11">
      <c r="C20" s="6"/>
      <c r="D20" s="1"/>
      <c r="E20" s="1"/>
      <c r="F20" s="73"/>
      <c r="G20" s="1"/>
      <c r="H20" s="73"/>
      <c r="J20" s="59"/>
      <c r="K20" s="88"/>
    </row>
    <row r="21" spans="1:11">
      <c r="A21" t="s">
        <v>3</v>
      </c>
      <c r="C21" s="30">
        <f t="shared" si="4"/>
        <v>6.5424387764227449E-3</v>
      </c>
      <c r="D21" s="60">
        <f>+Ingresos!B11</f>
        <v>695</v>
      </c>
      <c r="E21" s="37">
        <f>+F21/$H$6</f>
        <v>6.3540839311988142E-3</v>
      </c>
      <c r="F21" s="75">
        <f>+Ingresos!D11</f>
        <v>683.2</v>
      </c>
      <c r="G21" s="37">
        <f>+H21/$H$6</f>
        <v>7.6003474657138038E-3</v>
      </c>
      <c r="H21" s="75">
        <f>+Ingresos!F11</f>
        <v>817.2</v>
      </c>
      <c r="I21" s="53">
        <f t="shared" si="7"/>
        <v>7.6003474657138038E-3</v>
      </c>
      <c r="J21" s="60">
        <f>+Ingresos!H11</f>
        <v>817.2</v>
      </c>
      <c r="K21" s="88"/>
    </row>
    <row r="22" spans="1:11">
      <c r="A22" t="s">
        <v>16</v>
      </c>
      <c r="C22" s="24">
        <f t="shared" si="4"/>
        <v>3.4702224899863035E-2</v>
      </c>
      <c r="D22" s="61">
        <f>+Ingresos!B14</f>
        <v>3686.4</v>
      </c>
      <c r="E22" s="38">
        <f t="shared" ref="E22:E26" si="8">+F22/$H$6</f>
        <v>2.4483498168736646E-2</v>
      </c>
      <c r="F22" s="76">
        <f>+Ingresos!D14</f>
        <v>2632.5</v>
      </c>
      <c r="G22" s="38">
        <f t="shared" ref="G22:G30" si="9">+H22/$H$6</f>
        <v>2.4062186690277473E-2</v>
      </c>
      <c r="H22" s="76">
        <f>+Ingresos!F14</f>
        <v>2587.1999999999998</v>
      </c>
      <c r="I22" s="24">
        <f t="shared" si="7"/>
        <v>2.4062186690277473E-2</v>
      </c>
      <c r="J22" s="61">
        <f>+Ingresos!H14</f>
        <v>2587.1999999999998</v>
      </c>
      <c r="K22" s="88"/>
    </row>
    <row r="23" spans="1:11">
      <c r="A23" t="s">
        <v>17</v>
      </c>
      <c r="C23" s="25">
        <f t="shared" si="4"/>
        <v>4.2266978569982915E-3</v>
      </c>
      <c r="D23" s="62">
        <f>+Ingresos!B15</f>
        <v>449</v>
      </c>
      <c r="E23" s="39">
        <f t="shared" si="8"/>
        <v>4.0085043535519451E-3</v>
      </c>
      <c r="F23" s="77">
        <f>+Ingresos!D15</f>
        <v>431</v>
      </c>
      <c r="G23" s="39">
        <f t="shared" si="9"/>
        <v>3.8662070992379199E-3</v>
      </c>
      <c r="H23" s="77">
        <f>+Ingresos!F15</f>
        <v>415.7</v>
      </c>
      <c r="I23" s="25">
        <f t="shared" si="7"/>
        <v>3.8662070992379199E-3</v>
      </c>
      <c r="J23" s="62">
        <f>+Ingresos!H15</f>
        <v>415.7</v>
      </c>
      <c r="K23" s="88"/>
    </row>
    <row r="24" spans="1:11">
      <c r="A24" t="s">
        <v>18</v>
      </c>
      <c r="C24" s="26">
        <f t="shared" si="4"/>
        <v>1.8121143373545014E-3</v>
      </c>
      <c r="D24" s="63">
        <f>+Ingresos!B16</f>
        <v>192.5</v>
      </c>
      <c r="E24" s="40">
        <f t="shared" si="8"/>
        <v>1.544808754350297E-3</v>
      </c>
      <c r="F24" s="78">
        <f>+Ingresos!D16</f>
        <v>166.1</v>
      </c>
      <c r="G24" s="40">
        <f t="shared" si="9"/>
        <v>3.9387507975156581E-3</v>
      </c>
      <c r="H24" s="78">
        <f>+Ingresos!F16</f>
        <v>423.5</v>
      </c>
      <c r="I24" s="26">
        <f t="shared" si="7"/>
        <v>3.9387507975156581E-3</v>
      </c>
      <c r="J24" s="63">
        <f>+Ingresos!H16</f>
        <v>423.5</v>
      </c>
      <c r="K24" s="88"/>
    </row>
    <row r="25" spans="1:11">
      <c r="A25" t="s">
        <v>19</v>
      </c>
      <c r="C25" s="27">
        <f t="shared" si="4"/>
        <v>2.258318075487506E-3</v>
      </c>
      <c r="D25" s="64">
        <f>+Ingresos!B12+Ingresos!B17</f>
        <v>239.9</v>
      </c>
      <c r="E25" s="41">
        <f t="shared" si="8"/>
        <v>1.2172460552038946E-3</v>
      </c>
      <c r="F25" s="79">
        <f>+Ingresos!D12+Ingresos!D17</f>
        <v>130.88</v>
      </c>
      <c r="G25" s="41">
        <f t="shared" si="9"/>
        <v>2.5362392974793858E-3</v>
      </c>
      <c r="H25" s="79">
        <f>+Ingresos!F12+Ingresos!F17</f>
        <v>272.7</v>
      </c>
      <c r="I25" s="27">
        <f t="shared" si="7"/>
        <v>2.5362392974793858E-3</v>
      </c>
      <c r="J25" s="64">
        <f>+Ingresos!H12+Ingresos!H17</f>
        <v>272.7</v>
      </c>
      <c r="K25" s="88"/>
    </row>
    <row r="26" spans="1:11">
      <c r="A26" t="s">
        <v>31</v>
      </c>
      <c r="C26" s="51">
        <f t="shared" si="4"/>
        <v>0</v>
      </c>
      <c r="D26" s="65">
        <f>+Ingresos!B19</f>
        <v>0</v>
      </c>
      <c r="E26" s="39">
        <f t="shared" si="8"/>
        <v>5.6453878018701401E-4</v>
      </c>
      <c r="F26" s="80">
        <f>+Ingresos!D19</f>
        <v>60.7</v>
      </c>
      <c r="G26" s="103">
        <f t="shared" si="9"/>
        <v>0</v>
      </c>
      <c r="H26" s="80">
        <f>+Ingresos!F19</f>
        <v>0</v>
      </c>
      <c r="I26" s="51">
        <f t="shared" si="7"/>
        <v>0</v>
      </c>
      <c r="J26" s="65">
        <f>+Ingresos!H19</f>
        <v>0</v>
      </c>
      <c r="K26" s="88"/>
    </row>
    <row r="27" spans="1:11">
      <c r="A27" t="s">
        <v>20</v>
      </c>
      <c r="C27" s="22">
        <f t="shared" si="4"/>
        <v>1.6944445751886248E-5</v>
      </c>
      <c r="D27" s="66">
        <f>+Ingresos!B18</f>
        <v>1.8</v>
      </c>
      <c r="E27" s="42">
        <f t="shared" ref="E27:E30" si="10">+F27/$H$6</f>
        <v>2.3251185345428914E-5</v>
      </c>
      <c r="F27" s="81">
        <f>+Ingresos!D18</f>
        <v>2.5</v>
      </c>
      <c r="G27" s="42">
        <f t="shared" si="9"/>
        <v>3.1621612069783319E-5</v>
      </c>
      <c r="H27" s="81">
        <f>+Ingresos!F18</f>
        <v>3.4</v>
      </c>
      <c r="I27" s="22">
        <f t="shared" si="7"/>
        <v>3.1621612069783319E-5</v>
      </c>
      <c r="J27" s="66">
        <f>+Ingresos!H18</f>
        <v>3.4</v>
      </c>
      <c r="K27" s="88"/>
    </row>
    <row r="28" spans="1:11">
      <c r="A28" t="s">
        <v>21</v>
      </c>
      <c r="C28" s="25">
        <f t="shared" si="4"/>
        <v>5.8696501442631284E-2</v>
      </c>
      <c r="D28" s="67">
        <f>+Ingresos!B13</f>
        <v>6235.3</v>
      </c>
      <c r="E28" s="43">
        <f t="shared" si="10"/>
        <v>0</v>
      </c>
      <c r="F28" s="82">
        <f>+Ingresos!D13</f>
        <v>0</v>
      </c>
      <c r="G28" s="43">
        <f t="shared" si="9"/>
        <v>3.131841661287893E-2</v>
      </c>
      <c r="H28" s="82">
        <f>+Ingresos!F13</f>
        <v>3367.4</v>
      </c>
      <c r="I28" s="25">
        <f t="shared" si="7"/>
        <v>3.131841661287893E-2</v>
      </c>
      <c r="J28" s="67">
        <f>+Ingresos!H13</f>
        <v>3367.4</v>
      </c>
      <c r="K28" s="88"/>
    </row>
    <row r="29" spans="1:11">
      <c r="A29" t="s">
        <v>22</v>
      </c>
      <c r="C29" s="28">
        <f t="shared" si="4"/>
        <v>0.15026993443440853</v>
      </c>
      <c r="D29" s="68">
        <f>+Ingresos!B9</f>
        <v>15963.1</v>
      </c>
      <c r="E29" s="44">
        <f t="shared" si="10"/>
        <v>0.16342514141370931</v>
      </c>
      <c r="F29" s="83">
        <f>+Ingresos!D9</f>
        <v>17571.7</v>
      </c>
      <c r="G29" s="44">
        <f t="shared" si="9"/>
        <v>0.27945971685636539</v>
      </c>
      <c r="H29" s="83">
        <f>+Ingresos!F9</f>
        <v>30047.9</v>
      </c>
      <c r="I29" s="24">
        <f t="shared" si="7"/>
        <v>0.27945971685636539</v>
      </c>
      <c r="J29" s="68">
        <f>+Ingresos!H9</f>
        <v>30047.9</v>
      </c>
      <c r="K29" s="88"/>
    </row>
    <row r="30" spans="1:11">
      <c r="A30" t="s">
        <v>23</v>
      </c>
      <c r="C30" s="29">
        <f t="shared" si="4"/>
        <v>2.3077393755971742E-2</v>
      </c>
      <c r="D30" s="69">
        <f>+Ingresos!B10</f>
        <v>2451.5</v>
      </c>
      <c r="E30" s="45">
        <f t="shared" si="10"/>
        <v>4.3180241328702948E-2</v>
      </c>
      <c r="F30" s="84">
        <f>+Ingresos!D10</f>
        <v>4642.8</v>
      </c>
      <c r="G30" s="45">
        <f t="shared" si="9"/>
        <v>5.1698545591854279E-2</v>
      </c>
      <c r="H30" s="84">
        <f>+Ingresos!F10</f>
        <v>5558.7</v>
      </c>
      <c r="I30" s="29">
        <f t="shared" si="7"/>
        <v>5.1698545591854279E-2</v>
      </c>
      <c r="J30" s="69">
        <f>+Ingresos!H10</f>
        <v>5558.7</v>
      </c>
      <c r="K30" s="88"/>
    </row>
    <row r="31" spans="1:11">
      <c r="D31" s="59">
        <f>SUM(D21:D27)</f>
        <v>5264.5999999999995</v>
      </c>
      <c r="H31" s="73"/>
      <c r="K31" s="18"/>
    </row>
  </sheetData>
  <mergeCells count="4">
    <mergeCell ref="G3:H3"/>
    <mergeCell ref="C3:D3"/>
    <mergeCell ref="I3:J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Tributarios (grafica)</vt:lpstr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2022-02-04T19:20:11Z</dcterms:modified>
</cp:coreProperties>
</file>