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/>
  </bookViews>
  <sheets>
    <sheet name="Bono_Cupón_Irregular" sheetId="1" r:id="rId1"/>
  </sheets>
  <externalReferences>
    <externalReference r:id="rId2"/>
    <externalReference r:id="rId3"/>
  </externalReferences>
  <definedNames>
    <definedName name="Año_Calendario">[1]Hoja2!$AE$3</definedName>
    <definedName name="_xlnm.Print_Area" localSheetId="0">Bono_Cupón_Irregular!$A$1:$F$66</definedName>
    <definedName name="CeldasBlock" comment="Para que el usuario no cambie las fórmulas" localSheetId="0">Bono_Cupón_Irregular!$A$16:$P$92,Bono_Cupón_Irregular!$G$1:$P$16,Bono_Cupón_Irregular!$A$1:$G$6</definedName>
    <definedName name="DicDom1">DATE(Año_Calendario,12,1)-WEEKDAY(DATE(Año_Calendario,12,1))+1</definedName>
    <definedName name="FechasImportantes">'[2]Calendario familiar'!$D$6:$G$20</definedName>
    <definedName name="NovDom1">DATE(Año_Calendario,11,1)-WEEKDAY(DATE(Año_Calendario,11,1))+1</definedName>
    <definedName name="solver_adj" localSheetId="0" hidden="1">Bono_Cupón_Irregular!$F$11</definedName>
    <definedName name="solver_cvg" localSheetId="0" hidden="1">0.00000001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Bono_Cupón_Irregular!$O$42</definedName>
    <definedName name="solver_pre" localSheetId="0" hidden="1">0.00000001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99.5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N20" i="1" l="1"/>
  <c r="J48" i="1"/>
  <c r="M48" i="1"/>
  <c r="B38" i="1" l="1"/>
  <c r="F23" i="1"/>
  <c r="F21" i="1"/>
  <c r="F20" i="1"/>
  <c r="F19" i="1"/>
  <c r="F18" i="1"/>
  <c r="F17" i="1"/>
  <c r="G12" i="1"/>
  <c r="O36" i="1" l="1"/>
  <c r="N14" i="1"/>
  <c r="N21" i="1"/>
  <c r="O20" i="1" s="1"/>
  <c r="O35" i="1" s="1"/>
  <c r="N13" i="1"/>
  <c r="P16" i="1"/>
  <c r="O22" i="1"/>
  <c r="C39" i="1"/>
  <c r="A40" i="1"/>
  <c r="A41" i="1" s="1"/>
  <c r="B39" i="1"/>
  <c r="C40" i="1" s="1"/>
  <c r="O13" i="1" l="1"/>
  <c r="P13" i="1" s="1"/>
  <c r="O28" i="1" s="1"/>
  <c r="O37" i="1" s="1"/>
  <c r="N42" i="1" s="1"/>
  <c r="B40" i="1"/>
  <c r="D40" i="1" s="1"/>
  <c r="A42" i="1"/>
  <c r="D39" i="1"/>
  <c r="M40" i="1" s="1"/>
  <c r="N43" i="1" l="1"/>
  <c r="O42" i="1" s="1"/>
  <c r="M47" i="1" s="1"/>
  <c r="M49" i="1" s="1"/>
  <c r="M50" i="1" s="1"/>
  <c r="J50" i="1" s="1"/>
  <c r="F24" i="1"/>
  <c r="G40" i="1"/>
  <c r="E40" i="1"/>
  <c r="G39" i="1"/>
  <c r="O44" i="1" s="1"/>
  <c r="E39" i="1"/>
  <c r="A43" i="1"/>
  <c r="C41" i="1"/>
  <c r="B41" i="1"/>
  <c r="F39" i="1" l="1"/>
  <c r="B42" i="1"/>
  <c r="D42" i="1" s="1"/>
  <c r="C42" i="1"/>
  <c r="D41" i="1"/>
  <c r="G41" i="1" s="1"/>
  <c r="A44" i="1"/>
  <c r="F40" i="1"/>
  <c r="G42" i="1" l="1"/>
  <c r="E42" i="1"/>
  <c r="E41" i="1"/>
  <c r="B43" i="1"/>
  <c r="C43" i="1"/>
  <c r="A45" i="1"/>
  <c r="F41" i="1" l="1"/>
  <c r="F42" i="1"/>
  <c r="B44" i="1"/>
  <c r="C44" i="1"/>
  <c r="A46" i="1"/>
  <c r="D43" i="1"/>
  <c r="G43" i="1" s="1"/>
  <c r="E43" i="1" l="1"/>
  <c r="B45" i="1"/>
  <c r="C45" i="1"/>
  <c r="D44" i="1"/>
  <c r="G44" i="1" s="1"/>
  <c r="A47" i="1"/>
  <c r="F43" i="1" l="1"/>
  <c r="B46" i="1"/>
  <c r="D46" i="1" s="1"/>
  <c r="C46" i="1"/>
  <c r="A48" i="1"/>
  <c r="D45" i="1"/>
  <c r="G45" i="1" s="1"/>
  <c r="E44" i="1"/>
  <c r="F44" i="1" s="1"/>
  <c r="G46" i="1" l="1"/>
  <c r="E46" i="1"/>
  <c r="B47" i="1"/>
  <c r="D47" i="1" s="1"/>
  <c r="C47" i="1"/>
  <c r="A49" i="1"/>
  <c r="E45" i="1"/>
  <c r="E47" i="1" l="1"/>
  <c r="F45" i="1"/>
  <c r="G47" i="1"/>
  <c r="F47" i="1" s="1"/>
  <c r="F46" i="1"/>
  <c r="A50" i="1"/>
  <c r="C48" i="1"/>
  <c r="B48" i="1"/>
  <c r="D48" i="1" s="1"/>
  <c r="G48" i="1" s="1"/>
  <c r="E48" i="1" l="1"/>
  <c r="F48" i="1" s="1"/>
  <c r="A51" i="1"/>
  <c r="C49" i="1"/>
  <c r="B49" i="1"/>
  <c r="D49" i="1" s="1"/>
  <c r="G49" i="1" l="1"/>
  <c r="E49" i="1"/>
  <c r="C50" i="1"/>
  <c r="B50" i="1"/>
  <c r="D50" i="1" s="1"/>
  <c r="A52" i="1"/>
  <c r="G50" i="1" l="1"/>
  <c r="F49" i="1"/>
  <c r="E50" i="1"/>
  <c r="A53" i="1"/>
  <c r="B51" i="1"/>
  <c r="D51" i="1" s="1"/>
  <c r="C51" i="1"/>
  <c r="F50" i="1" l="1"/>
  <c r="G51" i="1"/>
  <c r="E51" i="1"/>
  <c r="B52" i="1"/>
  <c r="D52" i="1" s="1"/>
  <c r="C52" i="1"/>
  <c r="A54" i="1"/>
  <c r="F51" i="1" l="1"/>
  <c r="G52" i="1"/>
  <c r="E52" i="1"/>
  <c r="A55" i="1"/>
  <c r="C53" i="1"/>
  <c r="B53" i="1"/>
  <c r="D53" i="1" s="1"/>
  <c r="F52" i="1" l="1"/>
  <c r="G53" i="1"/>
  <c r="E53" i="1"/>
  <c r="A56" i="1"/>
  <c r="C54" i="1"/>
  <c r="B54" i="1"/>
  <c r="D54" i="1" s="1"/>
  <c r="G54" i="1" s="1"/>
  <c r="F53" i="1" l="1"/>
  <c r="E54" i="1"/>
  <c r="F54" i="1" s="1"/>
  <c r="A57" i="1"/>
  <c r="B55" i="1"/>
  <c r="D55" i="1" s="1"/>
  <c r="C55" i="1"/>
  <c r="E55" i="1" l="1"/>
  <c r="G55" i="1"/>
  <c r="B56" i="1"/>
  <c r="D56" i="1" s="1"/>
  <c r="C56" i="1"/>
  <c r="A58" i="1"/>
  <c r="F55" i="1" l="1"/>
  <c r="G56" i="1"/>
  <c r="E56" i="1"/>
  <c r="A59" i="1"/>
  <c r="B57" i="1"/>
  <c r="D57" i="1" s="1"/>
  <c r="C57" i="1"/>
  <c r="F56" i="1" l="1"/>
  <c r="G57" i="1"/>
  <c r="E57" i="1"/>
  <c r="A60" i="1"/>
  <c r="B58" i="1"/>
  <c r="D58" i="1" s="1"/>
  <c r="C58" i="1"/>
  <c r="F57" i="1" l="1"/>
  <c r="G58" i="1"/>
  <c r="E58" i="1"/>
  <c r="A61" i="1"/>
  <c r="C59" i="1"/>
  <c r="B59" i="1"/>
  <c r="D59" i="1" s="1"/>
  <c r="F58" i="1" l="1"/>
  <c r="G59" i="1"/>
  <c r="E59" i="1"/>
  <c r="B60" i="1"/>
  <c r="D60" i="1" s="1"/>
  <c r="C60" i="1"/>
  <c r="A62" i="1"/>
  <c r="F59" i="1" l="1"/>
  <c r="G60" i="1"/>
  <c r="E60" i="1"/>
  <c r="A63" i="1"/>
  <c r="B61" i="1"/>
  <c r="D61" i="1" s="1"/>
  <c r="C61" i="1"/>
  <c r="F60" i="1" l="1"/>
  <c r="G61" i="1"/>
  <c r="E61" i="1"/>
  <c r="A64" i="1"/>
  <c r="B62" i="1"/>
  <c r="D62" i="1" s="1"/>
  <c r="C62" i="1"/>
  <c r="F61" i="1" l="1"/>
  <c r="G62" i="1"/>
  <c r="E62" i="1"/>
  <c r="A65" i="1"/>
  <c r="B63" i="1"/>
  <c r="D63" i="1" s="1"/>
  <c r="C63" i="1"/>
  <c r="F62" i="1" l="1"/>
  <c r="G63" i="1"/>
  <c r="E63" i="1"/>
  <c r="F63" i="1" s="1"/>
  <c r="B64" i="1"/>
  <c r="D64" i="1" s="1"/>
  <c r="G64" i="1" s="1"/>
  <c r="C64" i="1"/>
  <c r="A66" i="1"/>
  <c r="E64" i="1" l="1"/>
  <c r="F64" i="1" s="1"/>
  <c r="A67" i="1"/>
  <c r="B65" i="1"/>
  <c r="D65" i="1" s="1"/>
  <c r="G65" i="1" s="1"/>
  <c r="C65" i="1"/>
  <c r="E65" i="1" l="1"/>
  <c r="F65" i="1" s="1"/>
  <c r="A68" i="1"/>
  <c r="C66" i="1"/>
  <c r="B66" i="1"/>
  <c r="D66" i="1" s="1"/>
  <c r="G66" i="1" s="1"/>
  <c r="E66" i="1" l="1"/>
  <c r="F66" i="1" s="1"/>
  <c r="C67" i="1"/>
  <c r="B67" i="1"/>
  <c r="D67" i="1" s="1"/>
  <c r="G67" i="1" s="1"/>
  <c r="A69" i="1"/>
  <c r="E67" i="1" l="1"/>
  <c r="F67" i="1" s="1"/>
  <c r="A70" i="1"/>
  <c r="C68" i="1"/>
  <c r="B68" i="1"/>
  <c r="D68" i="1" s="1"/>
  <c r="G68" i="1" s="1"/>
  <c r="E68" i="1" l="1"/>
  <c r="F68" i="1" s="1"/>
  <c r="B69" i="1"/>
  <c r="D69" i="1" s="1"/>
  <c r="G69" i="1" s="1"/>
  <c r="C69" i="1"/>
  <c r="A71" i="1"/>
  <c r="E69" i="1" l="1"/>
  <c r="F69" i="1" s="1"/>
  <c r="A72" i="1"/>
  <c r="B70" i="1"/>
  <c r="D70" i="1" s="1"/>
  <c r="G70" i="1" s="1"/>
  <c r="C70" i="1"/>
  <c r="E70" i="1" l="1"/>
  <c r="F70" i="1" s="1"/>
  <c r="A73" i="1"/>
  <c r="C71" i="1"/>
  <c r="B71" i="1"/>
  <c r="D71" i="1" s="1"/>
  <c r="G71" i="1" s="1"/>
  <c r="E71" i="1" l="1"/>
  <c r="F71" i="1" s="1"/>
  <c r="B72" i="1"/>
  <c r="D72" i="1" s="1"/>
  <c r="G72" i="1" s="1"/>
  <c r="C72" i="1"/>
  <c r="A74" i="1"/>
  <c r="E72" i="1" l="1"/>
  <c r="F72" i="1" s="1"/>
  <c r="A75" i="1"/>
  <c r="B73" i="1"/>
  <c r="D73" i="1" s="1"/>
  <c r="G73" i="1" s="1"/>
  <c r="C73" i="1"/>
  <c r="E73" i="1" l="1"/>
  <c r="F73" i="1" s="1"/>
  <c r="A76" i="1"/>
  <c r="G75" i="1"/>
  <c r="F75" i="1"/>
  <c r="E75" i="1"/>
  <c r="B74" i="1"/>
  <c r="D74" i="1" s="1"/>
  <c r="C74" i="1"/>
  <c r="G74" i="1" l="1"/>
  <c r="E74" i="1"/>
  <c r="F74" i="1" s="1"/>
  <c r="C75" i="1"/>
  <c r="B75" i="1"/>
  <c r="D75" i="1" s="1"/>
  <c r="E76" i="1"/>
  <c r="A77" i="1"/>
  <c r="G76" i="1"/>
  <c r="F76" i="1"/>
  <c r="C76" i="1" l="1"/>
  <c r="B76" i="1"/>
  <c r="D76" i="1"/>
  <c r="F77" i="1"/>
  <c r="E77" i="1"/>
  <c r="A78" i="1"/>
  <c r="G77" i="1"/>
  <c r="G78" i="1" l="1"/>
  <c r="F78" i="1"/>
  <c r="E78" i="1"/>
  <c r="A79" i="1"/>
  <c r="B77" i="1"/>
  <c r="C77" i="1"/>
  <c r="D77" i="1"/>
  <c r="A80" i="1" l="1"/>
  <c r="G79" i="1"/>
  <c r="F79" i="1"/>
  <c r="E79" i="1"/>
  <c r="C78" i="1"/>
  <c r="B78" i="1"/>
  <c r="D78" i="1"/>
  <c r="C79" i="1" l="1"/>
  <c r="B79" i="1"/>
  <c r="D79" i="1"/>
  <c r="E80" i="1"/>
  <c r="A81" i="1"/>
  <c r="G80" i="1"/>
  <c r="F80" i="1"/>
  <c r="F81" i="1" l="1"/>
  <c r="E81" i="1"/>
  <c r="A82" i="1"/>
  <c r="G81" i="1"/>
  <c r="C80" i="1"/>
  <c r="B80" i="1"/>
  <c r="D80" i="1"/>
  <c r="G82" i="1" l="1"/>
  <c r="F82" i="1"/>
  <c r="E82" i="1"/>
  <c r="A83" i="1"/>
  <c r="C81" i="1"/>
  <c r="B81" i="1"/>
  <c r="D81" i="1"/>
  <c r="A84" i="1" l="1"/>
  <c r="G83" i="1"/>
  <c r="F83" i="1"/>
  <c r="E83" i="1"/>
  <c r="C82" i="1"/>
  <c r="D82" i="1"/>
  <c r="B82" i="1"/>
  <c r="D83" i="1" l="1"/>
  <c r="C83" i="1"/>
  <c r="B83" i="1"/>
  <c r="E84" i="1"/>
  <c r="A85" i="1"/>
  <c r="G84" i="1"/>
  <c r="F84" i="1"/>
  <c r="D84" i="1" l="1"/>
  <c r="C84" i="1"/>
  <c r="B84" i="1"/>
  <c r="F85" i="1"/>
  <c r="E85" i="1"/>
  <c r="A86" i="1"/>
  <c r="G85" i="1"/>
  <c r="D85" i="1" l="1"/>
  <c r="C85" i="1"/>
  <c r="B85" i="1"/>
  <c r="G86" i="1"/>
  <c r="F86" i="1"/>
  <c r="E86" i="1"/>
  <c r="A87" i="1"/>
  <c r="B86" i="1" l="1"/>
  <c r="C86" i="1"/>
  <c r="D86" i="1"/>
  <c r="A88" i="1"/>
  <c r="G87" i="1"/>
  <c r="F87" i="1"/>
  <c r="E87" i="1"/>
  <c r="E88" i="1" l="1"/>
  <c r="A89" i="1"/>
  <c r="G88" i="1"/>
  <c r="F88" i="1"/>
  <c r="B87" i="1"/>
  <c r="D87" i="1"/>
  <c r="C87" i="1"/>
  <c r="F89" i="1" l="1"/>
  <c r="E89" i="1"/>
  <c r="G89" i="1"/>
  <c r="B88" i="1"/>
  <c r="D88" i="1"/>
  <c r="C88" i="1"/>
  <c r="E38" i="1" l="1"/>
  <c r="B89" i="1"/>
  <c r="D89" i="1"/>
  <c r="C89" i="1"/>
  <c r="S3" i="1" l="1"/>
  <c r="S8" i="1"/>
  <c r="S6" i="1" s="1"/>
</calcChain>
</file>

<file path=xl/sharedStrings.xml><?xml version="1.0" encoding="utf-8"?>
<sst xmlns="http://schemas.openxmlformats.org/spreadsheetml/2006/main" count="59" uniqueCount="53">
  <si>
    <t>Cálculo a través de fórmulas (Utilizando el valor actual de una renta constante)</t>
  </si>
  <si>
    <t>Valor nominal demandado</t>
  </si>
  <si>
    <r>
      <rPr>
        <b/>
        <sz val="11"/>
        <color theme="1"/>
        <rFont val="Calibri"/>
        <family val="2"/>
        <scheme val="minor"/>
      </rPr>
      <t>Paso I</t>
    </r>
    <r>
      <rPr>
        <sz val="11"/>
        <color theme="1"/>
        <rFont val="Calibri"/>
        <family val="2"/>
        <scheme val="minor"/>
      </rPr>
      <t>: Actualizar los flujos a la fecha de vencimiento del cupón irregular es decir al K=1</t>
    </r>
  </si>
  <si>
    <t>Cupón</t>
  </si>
  <si>
    <t>Rendimiento</t>
  </si>
  <si>
    <r>
      <t xml:space="preserve">Base cálculo (Ingrese: </t>
    </r>
    <r>
      <rPr>
        <sz val="11"/>
        <color rgb="FF0000FF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= 30/360; ó, </t>
    </r>
    <r>
      <rPr>
        <sz val="11"/>
        <color rgb="FF0000FF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Actual/Actual)</t>
    </r>
  </si>
  <si>
    <t>P</t>
  </si>
  <si>
    <t>Valor nominal (de referencia asume 100)</t>
  </si>
  <si>
    <t>Numerador</t>
  </si>
  <si>
    <t>Frecuencia de pago de cupón</t>
  </si>
  <si>
    <t>Denominador</t>
  </si>
  <si>
    <t>Cálculo automático de variables:</t>
  </si>
  <si>
    <t>Comprobación:</t>
  </si>
  <si>
    <t>C</t>
  </si>
  <si>
    <t>Valor de intereses a pagar periódicamente</t>
  </si>
  <si>
    <t>K</t>
  </si>
  <si>
    <t>Número de cupones por liquidar, incluyendo el vigente</t>
  </si>
  <si>
    <r>
      <t xml:space="preserve">Paso II: </t>
    </r>
    <r>
      <rPr>
        <sz val="11"/>
        <color theme="1"/>
        <rFont val="Calibri"/>
        <family val="2"/>
        <scheme val="minor"/>
      </rPr>
      <t>Actualizar el principal al punto K=1</t>
    </r>
  </si>
  <si>
    <t>Dc</t>
  </si>
  <si>
    <t>Días entre último cupón y fecha de liquidación</t>
  </si>
  <si>
    <t>Dp</t>
  </si>
  <si>
    <t>Días entre fecha de liquidación y próximo cupón</t>
  </si>
  <si>
    <t>D</t>
  </si>
  <si>
    <t>días de cada pago periódico de cupón</t>
  </si>
  <si>
    <t>b</t>
  </si>
  <si>
    <t>Base cálculo días del año</t>
  </si>
  <si>
    <t>Comprobación</t>
  </si>
  <si>
    <t>i</t>
  </si>
  <si>
    <t xml:space="preserve">Rendimiento nominal semestral </t>
  </si>
  <si>
    <r>
      <rPr>
        <b/>
        <sz val="11"/>
        <color theme="1"/>
        <rFont val="Calibri"/>
        <family val="2"/>
        <scheme val="minor"/>
      </rPr>
      <t xml:space="preserve">Paso III: </t>
    </r>
    <r>
      <rPr>
        <sz val="11"/>
        <color theme="1"/>
        <rFont val="Calibri"/>
        <family val="2"/>
        <scheme val="minor"/>
      </rPr>
      <t>Se actualizan los flujos de K=1 a K=0</t>
    </r>
  </si>
  <si>
    <r>
      <t>i</t>
    </r>
    <r>
      <rPr>
        <i/>
        <vertAlign val="subscript"/>
        <sz val="11"/>
        <color theme="1"/>
        <rFont val="Calibri"/>
        <family val="2"/>
        <scheme val="minor"/>
      </rPr>
      <t>e</t>
    </r>
  </si>
  <si>
    <t>Rendimiento efectivo del cupón irregular</t>
  </si>
  <si>
    <t>Cálculo a través de fórmulas de Excel:</t>
  </si>
  <si>
    <t>Precio según Excel</t>
  </si>
  <si>
    <t>Ver Comprobación</t>
  </si>
  <si>
    <t>Valor actual de las rentas (Paso I)</t>
  </si>
  <si>
    <t>Valor actual del principal (Paso II)</t>
  </si>
  <si>
    <t>Valor actual del cupón irregular K=1</t>
  </si>
  <si>
    <t>Fechas de pago</t>
  </si>
  <si>
    <t>Días efectivos</t>
  </si>
  <si>
    <t>Días entre cupones</t>
  </si>
  <si>
    <t>Pagos</t>
  </si>
  <si>
    <t>i efectivo</t>
  </si>
  <si>
    <t>Total flujo K=1</t>
  </si>
  <si>
    <r>
      <t xml:space="preserve">Paso IV: </t>
    </r>
    <r>
      <rPr>
        <sz val="11"/>
        <color theme="1"/>
        <rFont val="Calibri"/>
        <family val="2"/>
        <scheme val="minor"/>
      </rPr>
      <t xml:space="preserve"> Se determina el valor a liquidar para la constitución de la inversión.</t>
    </r>
  </si>
  <si>
    <t>Precio</t>
  </si>
  <si>
    <t>Total valor nominal a liquidar</t>
  </si>
  <si>
    <t>Fecha de liquidación (T+1)</t>
  </si>
  <si>
    <t>Cálculo a través de la actualización de cada uno de los flujos (Considerando un nominal de 100.00):</t>
  </si>
  <si>
    <t>Fecha de pago (Día hábil bancario después del vencimiento)</t>
  </si>
  <si>
    <t>Valor Actual</t>
  </si>
  <si>
    <t>Ingreso de información necesaria para el cálculo :</t>
  </si>
  <si>
    <t>CÁLCULO DEL PRECIO DE LOS BONOS DEL TESORO DE LA REPÚBLICA DE GUATEMALA COLOCADOS POR FECHA DE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</si>
</sst>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0%"/>
    <numFmt numFmtId="165" formatCode="_(* #,##0.00000_);_(* \(#,##0.00000\);_(* &quot;-&quot;??_);_(@_)"/>
    <numFmt numFmtId="166" formatCode="0.0000"/>
    <numFmt numFmtId="167" formatCode="0.00000"/>
    <numFmt numFmtId="168" formatCode="0.00000%"/>
    <numFmt numFmtId="169" formatCode="_(* #,##0.0000_);_(* \(#,##0.0000\);_(* &quot;-&quot;??_);_(@_)"/>
    <numFmt numFmtId="170" formatCode="_(* #,##0.000_);_(* \(#,##0.000\);_(* &quot;-&quot;??_);_(@_)"/>
    <numFmt numFmtId="171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8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0" fillId="0" borderId="0" xfId="0" quotePrefix="1" applyProtection="1"/>
    <xf numFmtId="165" fontId="0" fillId="0" borderId="10" xfId="1" applyNumberFormat="1" applyFont="1" applyBorder="1" applyAlignment="1" applyProtection="1"/>
    <xf numFmtId="166" fontId="0" fillId="0" borderId="0" xfId="0" applyNumberFormat="1" applyBorder="1" applyProtection="1"/>
    <xf numFmtId="43" fontId="3" fillId="0" borderId="9" xfId="1" applyFont="1" applyBorder="1" applyProtection="1"/>
    <xf numFmtId="165" fontId="0" fillId="0" borderId="0" xfId="1" applyNumberFormat="1" applyFont="1" applyBorder="1" applyAlignment="1" applyProtection="1"/>
    <xf numFmtId="43" fontId="0" fillId="0" borderId="9" xfId="1" applyFont="1" applyBorder="1" applyProtection="1"/>
    <xf numFmtId="0" fontId="7" fillId="0" borderId="0" xfId="0" applyFont="1" applyBorder="1" applyProtection="1"/>
    <xf numFmtId="43" fontId="8" fillId="0" borderId="9" xfId="1" applyFont="1" applyBorder="1" applyProtection="1"/>
    <xf numFmtId="0" fontId="3" fillId="0" borderId="8" xfId="0" applyFont="1" applyBorder="1" applyProtection="1"/>
    <xf numFmtId="0" fontId="0" fillId="0" borderId="10" xfId="0" applyBorder="1" applyProtection="1"/>
    <xf numFmtId="43" fontId="3" fillId="0" borderId="0" xfId="1" applyFont="1" applyBorder="1" applyProtection="1"/>
    <xf numFmtId="166" fontId="0" fillId="0" borderId="0" xfId="1" applyNumberFormat="1" applyFont="1" applyBorder="1" applyProtection="1"/>
    <xf numFmtId="43" fontId="0" fillId="0" borderId="0" xfId="1" applyFont="1" applyBorder="1" applyProtection="1"/>
    <xf numFmtId="43" fontId="8" fillId="0" borderId="0" xfId="1" applyFont="1" applyBorder="1" applyProtection="1"/>
    <xf numFmtId="0" fontId="5" fillId="0" borderId="0" xfId="0" applyFont="1" applyProtection="1"/>
    <xf numFmtId="168" fontId="0" fillId="0" borderId="0" xfId="0" applyNumberFormat="1" applyProtection="1"/>
    <xf numFmtId="169" fontId="0" fillId="0" borderId="0" xfId="1" applyNumberFormat="1" applyFont="1" applyBorder="1" applyProtection="1"/>
    <xf numFmtId="169" fontId="0" fillId="0" borderId="10" xfId="1" applyNumberFormat="1" applyFont="1" applyBorder="1" applyProtection="1"/>
    <xf numFmtId="0" fontId="0" fillId="0" borderId="0" xfId="0" applyFont="1" applyFill="1" applyBorder="1" applyAlignment="1" applyProtection="1">
      <alignment horizontal="center" shrinkToFit="1"/>
    </xf>
    <xf numFmtId="43" fontId="0" fillId="0" borderId="0" xfId="0" applyNumberFormat="1" applyBorder="1" applyProtection="1"/>
    <xf numFmtId="170" fontId="0" fillId="0" borderId="0" xfId="1" quotePrefix="1" applyNumberFormat="1" applyFont="1" applyFill="1" applyBorder="1" applyProtection="1"/>
    <xf numFmtId="167" fontId="0" fillId="0" borderId="0" xfId="0" applyNumberFormat="1" applyBorder="1" applyProtection="1"/>
    <xf numFmtId="43" fontId="0" fillId="0" borderId="0" xfId="0" applyNumberFormat="1" applyProtection="1"/>
    <xf numFmtId="0" fontId="0" fillId="0" borderId="0" xfId="0" applyFill="1" applyBorder="1" applyProtection="1"/>
    <xf numFmtId="43" fontId="1" fillId="0" borderId="0" xfId="1" applyFont="1" applyFill="1" applyBorder="1" applyProtection="1"/>
    <xf numFmtId="166" fontId="0" fillId="0" borderId="10" xfId="0" applyNumberFormat="1" applyBorder="1" applyProtection="1"/>
    <xf numFmtId="169" fontId="2" fillId="3" borderId="0" xfId="1" applyNumberFormat="1" applyFont="1" applyFill="1" applyBorder="1" applyProtection="1"/>
    <xf numFmtId="169" fontId="8" fillId="3" borderId="0" xfId="1" applyNumberFormat="1" applyFont="1" applyFill="1" applyBorder="1" applyProtection="1"/>
    <xf numFmtId="0" fontId="0" fillId="0" borderId="8" xfId="0" applyFont="1" applyBorder="1" applyProtection="1"/>
    <xf numFmtId="169" fontId="0" fillId="0" borderId="0" xfId="0" applyNumberFormat="1" applyBorder="1" applyProtection="1"/>
    <xf numFmtId="43" fontId="0" fillId="0" borderId="10" xfId="0" applyNumberFormat="1" applyBorder="1" applyProtection="1"/>
    <xf numFmtId="0" fontId="3" fillId="0" borderId="0" xfId="0" applyFont="1" applyBorder="1" applyProtection="1"/>
    <xf numFmtId="43" fontId="3" fillId="0" borderId="0" xfId="0" applyNumberFormat="1" applyFont="1" applyBorder="1" applyProtection="1"/>
    <xf numFmtId="0" fontId="0" fillId="0" borderId="8" xfId="0" quotePrefix="1" applyBorder="1" applyProtection="1"/>
    <xf numFmtId="43" fontId="0" fillId="0" borderId="0" xfId="1" applyNumberFormat="1" applyFont="1" applyBorder="1" applyProtection="1"/>
    <xf numFmtId="0" fontId="0" fillId="0" borderId="11" xfId="0" applyBorder="1" applyProtection="1"/>
    <xf numFmtId="164" fontId="0" fillId="0" borderId="10" xfId="0" applyNumberFormat="1" applyBorder="1" applyProtection="1"/>
    <xf numFmtId="0" fontId="0" fillId="0" borderId="12" xfId="0" applyBorder="1" applyProtection="1"/>
    <xf numFmtId="164" fontId="0" fillId="0" borderId="0" xfId="0" applyNumberFormat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9" fontId="11" fillId="0" borderId="0" xfId="0" applyNumberFormat="1" applyFont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14" fillId="4" borderId="0" xfId="0" applyFont="1" applyFill="1" applyBorder="1" applyProtection="1"/>
    <xf numFmtId="0" fontId="0" fillId="4" borderId="5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quotePrefix="1" applyFill="1" applyBorder="1" applyProtection="1"/>
    <xf numFmtId="0" fontId="5" fillId="4" borderId="4" xfId="0" applyFont="1" applyFill="1" applyBorder="1" applyProtection="1"/>
    <xf numFmtId="43" fontId="0" fillId="4" borderId="4" xfId="1" applyFont="1" applyFill="1" applyBorder="1" applyProtection="1"/>
    <xf numFmtId="0" fontId="0" fillId="4" borderId="0" xfId="0" quotePrefix="1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4" fillId="4" borderId="0" xfId="0" applyFont="1" applyFill="1" applyBorder="1" applyProtection="1"/>
    <xf numFmtId="0" fontId="0" fillId="4" borderId="0" xfId="0" applyFill="1" applyAlignment="1" applyProtection="1">
      <alignment horizontal="left"/>
    </xf>
    <xf numFmtId="167" fontId="0" fillId="4" borderId="4" xfId="0" applyNumberFormat="1" applyFill="1" applyBorder="1" applyProtection="1"/>
    <xf numFmtId="0" fontId="5" fillId="4" borderId="0" xfId="0" applyFont="1" applyFill="1" applyProtection="1"/>
    <xf numFmtId="166" fontId="2" fillId="4" borderId="8" xfId="0" applyNumberFormat="1" applyFont="1" applyFill="1" applyBorder="1" applyAlignment="1" applyProtection="1">
      <alignment horizontal="center"/>
    </xf>
    <xf numFmtId="166" fontId="2" fillId="4" borderId="9" xfId="0" applyNumberFormat="1" applyFont="1" applyFill="1" applyBorder="1" applyAlignment="1" applyProtection="1">
      <alignment horizontal="center"/>
    </xf>
    <xf numFmtId="164" fontId="1" fillId="4" borderId="0" xfId="2" applyNumberFormat="1" applyFont="1" applyFill="1" applyBorder="1" applyProtection="1"/>
    <xf numFmtId="43" fontId="0" fillId="4" borderId="0" xfId="1" applyFont="1" applyFill="1" applyProtection="1"/>
    <xf numFmtId="0" fontId="14" fillId="4" borderId="0" xfId="0" applyFont="1" applyFill="1" applyAlignment="1" applyProtection="1">
      <alignment horizontal="left" vertical="center" wrapText="1"/>
    </xf>
    <xf numFmtId="43" fontId="0" fillId="4" borderId="0" xfId="0" applyNumberFormat="1" applyFill="1" applyProtection="1"/>
    <xf numFmtId="0" fontId="3" fillId="4" borderId="4" xfId="0" applyFont="1" applyFill="1" applyBorder="1" applyAlignment="1" applyProtection="1">
      <alignment horizontal="center" vertical="center" wrapText="1"/>
    </xf>
    <xf numFmtId="14" fontId="0" fillId="4" borderId="4" xfId="0" applyNumberFormat="1" applyFill="1" applyBorder="1" applyAlignment="1" applyProtection="1">
      <alignment horizontal="left"/>
    </xf>
    <xf numFmtId="0" fontId="0" fillId="4" borderId="4" xfId="0" applyFont="1" applyFill="1" applyBorder="1" applyAlignment="1" applyProtection="1">
      <alignment horizontal="center" vertical="center" wrapText="1"/>
    </xf>
    <xf numFmtId="14" fontId="0" fillId="4" borderId="4" xfId="0" quotePrefix="1" applyNumberFormat="1" applyFill="1" applyBorder="1" applyAlignment="1" applyProtection="1">
      <alignment horizontal="left"/>
    </xf>
    <xf numFmtId="0" fontId="0" fillId="4" borderId="4" xfId="0" applyNumberFormat="1" applyFill="1" applyBorder="1" applyProtection="1"/>
    <xf numFmtId="43" fontId="0" fillId="4" borderId="4" xfId="1" applyNumberFormat="1" applyFont="1" applyFill="1" applyBorder="1" applyProtection="1"/>
    <xf numFmtId="43" fontId="1" fillId="4" borderId="4" xfId="1" applyFont="1" applyFill="1" applyBorder="1" applyProtection="1"/>
    <xf numFmtId="165" fontId="1" fillId="4" borderId="4" xfId="1" applyNumberFormat="1" applyFont="1" applyFill="1" applyBorder="1" applyProtection="1"/>
    <xf numFmtId="43" fontId="0" fillId="4" borderId="4" xfId="1" quotePrefix="1" applyNumberFormat="1" applyFont="1" applyFill="1" applyBorder="1" applyProtection="1"/>
    <xf numFmtId="0" fontId="3" fillId="5" borderId="0" xfId="0" applyFont="1" applyFill="1" applyProtection="1"/>
    <xf numFmtId="0" fontId="0" fillId="5" borderId="0" xfId="0" applyFill="1" applyProtection="1"/>
    <xf numFmtId="0" fontId="3" fillId="5" borderId="0" xfId="0" applyFont="1" applyFill="1" applyAlignment="1" applyProtection="1">
      <alignment vertical="center" wrapText="1"/>
    </xf>
    <xf numFmtId="0" fontId="14" fillId="5" borderId="0" xfId="0" applyFont="1" applyFill="1" applyAlignment="1" applyProtection="1">
      <alignment horizontal="center" vertical="center" wrapText="1"/>
    </xf>
    <xf numFmtId="169" fontId="2" fillId="6" borderId="4" xfId="1" applyNumberFormat="1" applyFon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171" fontId="17" fillId="0" borderId="0" xfId="0" applyNumberFormat="1" applyFont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11" xfId="0" applyFill="1" applyBorder="1" applyAlignment="1" applyProtection="1"/>
    <xf numFmtId="0" fontId="0" fillId="4" borderId="10" xfId="0" applyFill="1" applyBorder="1" applyAlignment="1" applyProtection="1"/>
    <xf numFmtId="0" fontId="0" fillId="4" borderId="12" xfId="0" applyFill="1" applyBorder="1" applyProtection="1"/>
    <xf numFmtId="0" fontId="0" fillId="4" borderId="13" xfId="0" applyFill="1" applyBorder="1" applyProtection="1">
      <protection locked="0"/>
    </xf>
    <xf numFmtId="0" fontId="0" fillId="4" borderId="14" xfId="0" applyFill="1" applyBorder="1" applyAlignment="1" applyProtection="1"/>
    <xf numFmtId="0" fontId="0" fillId="4" borderId="15" xfId="0" applyFill="1" applyBorder="1" applyAlignment="1" applyProtection="1"/>
    <xf numFmtId="0" fontId="0" fillId="4" borderId="16" xfId="0" applyFill="1" applyBorder="1" applyProtection="1"/>
    <xf numFmtId="14" fontId="0" fillId="2" borderId="17" xfId="0" applyNumberFormat="1" applyFill="1" applyBorder="1" applyProtection="1">
      <protection locked="0"/>
    </xf>
    <xf numFmtId="0" fontId="0" fillId="4" borderId="18" xfId="0" applyFill="1" applyBorder="1" applyAlignment="1" applyProtection="1"/>
    <xf numFmtId="14" fontId="0" fillId="2" borderId="19" xfId="0" applyNumberFormat="1" applyFill="1" applyBorder="1" applyProtection="1">
      <protection locked="0"/>
    </xf>
    <xf numFmtId="0" fontId="0" fillId="4" borderId="18" xfId="0" applyFill="1" applyBorder="1" applyAlignment="1" applyProtection="1">
      <alignment horizontal="left"/>
    </xf>
    <xf numFmtId="43" fontId="6" fillId="2" borderId="19" xfId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4" borderId="20" xfId="0" applyFill="1" applyBorder="1" applyAlignment="1" applyProtection="1">
      <alignment horizontal="left"/>
    </xf>
    <xf numFmtId="0" fontId="0" fillId="4" borderId="21" xfId="0" applyFill="1" applyBorder="1" applyAlignment="1" applyProtection="1">
      <alignment horizontal="left"/>
    </xf>
    <xf numFmtId="0" fontId="0" fillId="4" borderId="22" xfId="0" applyFill="1" applyBorder="1" applyAlignment="1" applyProtection="1">
      <alignment horizontal="left"/>
    </xf>
    <xf numFmtId="164" fontId="6" fillId="2" borderId="23" xfId="0" applyNumberFormat="1" applyFont="1" applyFill="1" applyBorder="1" applyProtection="1">
      <protection locked="0"/>
    </xf>
  </cellXfs>
  <cellStyles count="6">
    <cellStyle name="Millares" xfId="1" builtinId="3"/>
    <cellStyle name="Millares 2" xfId="3"/>
    <cellStyle name="Normal" xfId="0" builtinId="0"/>
    <cellStyle name="Normal 2" xfId="4"/>
    <cellStyle name="Porcentaje" xfId="2" builtinId="5"/>
    <cellStyle name="Porcentual 2" xfId="5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25613</xdr:colOff>
      <xdr:row>9</xdr:row>
      <xdr:rowOff>44825</xdr:rowOff>
    </xdr:from>
    <xdr:to>
      <xdr:col>15</xdr:col>
      <xdr:colOff>593912</xdr:colOff>
      <xdr:row>10</xdr:row>
      <xdr:rowOff>179295</xdr:rowOff>
    </xdr:to>
    <xdr:sp macro="" textlink="">
      <xdr:nvSpPr>
        <xdr:cNvPr id="3" name="2 CuadroTexto"/>
        <xdr:cNvSpPr txBox="1"/>
      </xdr:nvSpPr>
      <xdr:spPr>
        <a:xfrm>
          <a:off x="6235913" y="1378325"/>
          <a:ext cx="6292824" cy="324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/>
            <a:t>En este caso "n" es igual a "K" menos uno, toda vez que se están actualizando los flujos</a:t>
          </a:r>
          <a:r>
            <a:rPr lang="es-GT" sz="1100" baseline="0"/>
            <a:t> a la punto K=1</a:t>
          </a:r>
          <a:endParaRPr lang="es-GT" sz="1100"/>
        </a:p>
      </xdr:txBody>
    </xdr:sp>
    <xdr:clientData/>
  </xdr:twoCellAnchor>
  <xdr:twoCellAnchor>
    <xdr:from>
      <xdr:col>9</xdr:col>
      <xdr:colOff>54428</xdr:colOff>
      <xdr:row>23</xdr:row>
      <xdr:rowOff>13607</xdr:rowOff>
    </xdr:from>
    <xdr:to>
      <xdr:col>15</xdr:col>
      <xdr:colOff>721179</xdr:colOff>
      <xdr:row>26</xdr:row>
      <xdr:rowOff>112058</xdr:rowOff>
    </xdr:to>
    <xdr:sp macro="" textlink="">
      <xdr:nvSpPr>
        <xdr:cNvPr id="6" name="5 CuadroTexto"/>
        <xdr:cNvSpPr txBox="1"/>
      </xdr:nvSpPr>
      <xdr:spPr>
        <a:xfrm>
          <a:off x="6264728" y="4014107"/>
          <a:ext cx="6391276" cy="708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/>
            <a:t>Al actualizar a</a:t>
          </a:r>
          <a:r>
            <a:rPr lang="es-GT" sz="1100" baseline="0"/>
            <a:t> la fecha de la liquidación (intermedia entre cupones) se actualiza a una fracción del tiempo entre cupones, por lo que "n" se sustituye por "Dp/D"; así  como "i" se sustituye por "i</a:t>
          </a:r>
          <a:r>
            <a:rPr lang="es-GT" sz="1100" baseline="-25000"/>
            <a:t>e</a:t>
          </a:r>
          <a:r>
            <a:rPr lang="es-GT" sz="1100" baseline="0"/>
            <a:t>", que representa  el rendimiento efectivo del período irregular.</a:t>
          </a:r>
          <a:endParaRPr lang="es-GT" sz="1100"/>
        </a:p>
      </xdr:txBody>
    </xdr:sp>
    <xdr:clientData/>
  </xdr:twoCellAnchor>
  <xdr:twoCellAnchor>
    <xdr:from>
      <xdr:col>0</xdr:col>
      <xdr:colOff>15999</xdr:colOff>
      <xdr:row>28</xdr:row>
      <xdr:rowOff>38727</xdr:rowOff>
    </xdr:from>
    <xdr:to>
      <xdr:col>2</xdr:col>
      <xdr:colOff>512379</xdr:colOff>
      <xdr:row>32</xdr:row>
      <xdr:rowOff>7327</xdr:rowOff>
    </xdr:to>
    <xdr:sp macro="" textlink="$S$3">
      <xdr:nvSpPr>
        <xdr:cNvPr id="2" name="1 CuadroTexto"/>
        <xdr:cNvSpPr txBox="1"/>
      </xdr:nvSpPr>
      <xdr:spPr>
        <a:xfrm>
          <a:off x="15999" y="2758279"/>
          <a:ext cx="1744483" cy="73060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8FC0F71-CA38-4986-A0E8-9332E885BC9E}" type="TxLink">
            <a:rPr lang="es-G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precio es de 100.0000%</a:t>
          </a:fld>
          <a:endParaRPr lang="es-G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3</xdr:col>
      <xdr:colOff>6569</xdr:colOff>
      <xdr:row>28</xdr:row>
      <xdr:rowOff>39414</xdr:rowOff>
    </xdr:from>
    <xdr:to>
      <xdr:col>5</xdr:col>
      <xdr:colOff>987144</xdr:colOff>
      <xdr:row>32</xdr:row>
      <xdr:rowOff>36634</xdr:rowOff>
    </xdr:to>
    <xdr:sp macro="" textlink="$S$6">
      <xdr:nvSpPr>
        <xdr:cNvPr id="4" name="3 CuadroTexto"/>
        <xdr:cNvSpPr txBox="1"/>
      </xdr:nvSpPr>
      <xdr:spPr>
        <a:xfrm>
          <a:off x="2016672" y="2758966"/>
          <a:ext cx="2504575" cy="75922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32A6C1F-C4A7-4136-9B00-7AE6BF5FB4A4}" type="TxLink">
            <a:rPr lang="es-GT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valor a liquidar es de 100,000.00</a:t>
          </a:fld>
          <a:endParaRPr lang="es-GT" sz="18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0</xdr:col>
      <xdr:colOff>73268</xdr:colOff>
      <xdr:row>0</xdr:row>
      <xdr:rowOff>43964</xdr:rowOff>
    </xdr:from>
    <xdr:to>
      <xdr:col>1</xdr:col>
      <xdr:colOff>754672</xdr:colOff>
      <xdr:row>2</xdr:row>
      <xdr:rowOff>241790</xdr:rowOff>
    </xdr:to>
    <xdr:pic>
      <xdr:nvPicPr>
        <xdr:cNvPr id="7" name="6 Imagen" descr="escudoArrDor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" y="43964"/>
          <a:ext cx="974481" cy="7986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29308</xdr:colOff>
      <xdr:row>4</xdr:row>
      <xdr:rowOff>0</xdr:rowOff>
    </xdr:from>
    <xdr:to>
      <xdr:col>7</xdr:col>
      <xdr:colOff>7327</xdr:colOff>
      <xdr:row>4</xdr:row>
      <xdr:rowOff>0</xdr:rowOff>
    </xdr:to>
    <xdr:cxnSp macro="">
      <xdr:nvCxnSpPr>
        <xdr:cNvPr id="8" name="7 Conector recto"/>
        <xdr:cNvCxnSpPr/>
      </xdr:nvCxnSpPr>
      <xdr:spPr>
        <a:xfrm>
          <a:off x="29308" y="1128346"/>
          <a:ext cx="6176596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arrollo%20Mercado\Proyecto%20Desarrollo%20Mercado%20Secundario\F&#243;rmulas\Formula%20Precio%20Bonos%20del%20Tesoro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Calendar_2_Mon%20Start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Dinamico"/>
      <sheetName val="Bono Estándar"/>
      <sheetName val="Bono_Cupón_Irregular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familiar"/>
    </sheetNames>
    <sheetDataSet>
      <sheetData sheetId="0">
        <row r="6">
          <cell r="D6">
            <v>40544</v>
          </cell>
        </row>
        <row r="7">
          <cell r="D7">
            <v>40627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90"/>
  <sheetViews>
    <sheetView showGridLines="0" showRowColHeaders="0" tabSelected="1" showRuler="0" zoomScale="145" zoomScaleNormal="145" zoomScaleSheetLayoutView="145" workbookViewId="0">
      <selection activeCell="R3" sqref="R3"/>
    </sheetView>
  </sheetViews>
  <sheetFormatPr baseColWidth="10" defaultRowHeight="15" x14ac:dyDescent="0.25"/>
  <cols>
    <col min="1" max="1" width="4.42578125" style="1" customWidth="1"/>
    <col min="2" max="2" width="14.28515625" style="1" customWidth="1"/>
    <col min="3" max="3" width="11.42578125" style="1" customWidth="1"/>
    <col min="4" max="4" width="0" style="1" hidden="1" customWidth="1"/>
    <col min="5" max="5" width="22.85546875" style="1" customWidth="1"/>
    <col min="6" max="6" width="16.7109375" style="1" customWidth="1"/>
    <col min="7" max="7" width="13.42578125" style="1" hidden="1" customWidth="1"/>
    <col min="8" max="8" width="3.28515625" style="1" customWidth="1"/>
    <col min="9" max="9" width="3.5703125" style="1" customWidth="1"/>
    <col min="10" max="11" width="0" style="1" hidden="1" customWidth="1"/>
    <col min="12" max="12" width="16.28515625" style="1" hidden="1" customWidth="1"/>
    <col min="13" max="13" width="16.42578125" style="1" hidden="1" customWidth="1"/>
    <col min="14" max="14" width="13.85546875" style="1" hidden="1" customWidth="1"/>
    <col min="15" max="15" width="16.42578125" style="1" hidden="1" customWidth="1"/>
    <col min="16" max="16" width="13.140625" style="1" hidden="1" customWidth="1"/>
    <col min="17" max="17" width="24.5703125" style="1" customWidth="1"/>
    <col min="18" max="18" width="11.42578125" style="1"/>
    <col min="19" max="19" width="19.5703125" style="1" bestFit="1" customWidth="1"/>
    <col min="20" max="16384" width="11.42578125" style="1"/>
  </cols>
  <sheetData>
    <row r="1" spans="1:19" x14ac:dyDescent="0.25">
      <c r="A1" s="86"/>
      <c r="B1" s="87"/>
      <c r="C1" s="87"/>
      <c r="D1" s="87"/>
      <c r="E1" s="87"/>
      <c r="F1" s="87"/>
      <c r="G1" s="87"/>
    </row>
    <row r="2" spans="1:19" ht="41.25" customHeight="1" x14ac:dyDescent="0.25">
      <c r="A2" s="87"/>
      <c r="B2" s="88"/>
      <c r="C2" s="89" t="s">
        <v>52</v>
      </c>
      <c r="D2" s="89"/>
      <c r="E2" s="89"/>
      <c r="F2" s="89"/>
      <c r="G2" s="89"/>
    </row>
    <row r="3" spans="1:19" ht="21" customHeight="1" x14ac:dyDescent="0.25">
      <c r="A3" s="87"/>
      <c r="B3" s="87"/>
      <c r="C3" s="87"/>
      <c r="D3" s="87"/>
      <c r="E3" s="87"/>
      <c r="F3" s="87"/>
      <c r="G3" s="87"/>
      <c r="S3" s="91" t="str">
        <f>"El precio es de " &amp;TEXT(E38,"##.0000")&amp;"%"</f>
        <v>El precio es de 100.0000%</v>
      </c>
    </row>
    <row r="4" spans="1:19" ht="9.75" customHeight="1" x14ac:dyDescent="0.25">
      <c r="A4" s="87"/>
      <c r="B4" s="87"/>
      <c r="C4" s="87"/>
      <c r="D4" s="87"/>
      <c r="E4" s="87"/>
      <c r="F4" s="87"/>
      <c r="G4" s="87"/>
      <c r="S4" s="91"/>
    </row>
    <row r="5" spans="1:19" ht="21" customHeight="1" x14ac:dyDescent="0.25">
      <c r="A5" s="52"/>
      <c r="B5" s="52"/>
      <c r="C5" s="52"/>
      <c r="D5" s="52"/>
      <c r="E5" s="52"/>
      <c r="F5" s="52"/>
      <c r="G5" s="52"/>
      <c r="S5" s="91"/>
    </row>
    <row r="6" spans="1:19" ht="15.75" thickBot="1" x14ac:dyDescent="0.3">
      <c r="A6" s="53" t="s">
        <v>51</v>
      </c>
      <c r="B6" s="52"/>
      <c r="C6" s="52"/>
      <c r="D6" s="52"/>
      <c r="E6" s="52"/>
      <c r="F6" s="52"/>
      <c r="G6" s="52"/>
      <c r="J6" s="2"/>
      <c r="K6" s="3"/>
      <c r="L6" s="3"/>
      <c r="M6" s="3"/>
      <c r="N6" s="3"/>
      <c r="O6" s="3"/>
      <c r="P6" s="4"/>
      <c r="S6" s="91" t="str">
        <f>"El valor a liquidar es de "&amp;TEXT(S8,"##,###,###.00")</f>
        <v>El valor a liquidar es de 100,000.00</v>
      </c>
    </row>
    <row r="7" spans="1:19" ht="15.75" customHeight="1" x14ac:dyDescent="0.25">
      <c r="A7" s="99" t="s">
        <v>47</v>
      </c>
      <c r="B7" s="100"/>
      <c r="C7" s="100"/>
      <c r="D7" s="100"/>
      <c r="E7" s="101"/>
      <c r="F7" s="102">
        <v>40939</v>
      </c>
      <c r="G7" s="52"/>
      <c r="J7" s="5" t="s">
        <v>0</v>
      </c>
      <c r="K7" s="6"/>
      <c r="L7" s="6"/>
      <c r="M7" s="6"/>
      <c r="N7" s="6"/>
      <c r="O7" s="6"/>
      <c r="P7" s="7"/>
      <c r="Q7" s="49"/>
      <c r="S7" s="92"/>
    </row>
    <row r="8" spans="1:19" ht="15" customHeight="1" x14ac:dyDescent="0.25">
      <c r="A8" s="103" t="s">
        <v>49</v>
      </c>
      <c r="B8" s="55"/>
      <c r="C8" s="55"/>
      <c r="D8" s="55"/>
      <c r="E8" s="57"/>
      <c r="F8" s="104">
        <v>46706</v>
      </c>
      <c r="G8" s="52"/>
      <c r="J8" s="8"/>
      <c r="K8" s="6"/>
      <c r="L8" s="6"/>
      <c r="M8" s="6"/>
      <c r="N8" s="6"/>
      <c r="O8" s="6"/>
      <c r="P8" s="6"/>
      <c r="S8" s="93">
        <f>+F9*E38/100</f>
        <v>100000</v>
      </c>
    </row>
    <row r="9" spans="1:19" ht="15" customHeight="1" x14ac:dyDescent="0.25">
      <c r="A9" s="105" t="s">
        <v>1</v>
      </c>
      <c r="B9" s="58"/>
      <c r="C9" s="58"/>
      <c r="D9" s="58"/>
      <c r="E9" s="59"/>
      <c r="F9" s="106">
        <v>100000</v>
      </c>
      <c r="G9" s="52"/>
      <c r="J9" s="8" t="s">
        <v>2</v>
      </c>
      <c r="K9" s="6"/>
      <c r="L9" s="6"/>
      <c r="M9" s="6"/>
      <c r="N9" s="6"/>
      <c r="O9" s="6"/>
      <c r="P9" s="6"/>
      <c r="Q9" s="50"/>
      <c r="S9" s="93"/>
    </row>
    <row r="10" spans="1:19" x14ac:dyDescent="0.25">
      <c r="A10" s="105" t="s">
        <v>3</v>
      </c>
      <c r="B10" s="58"/>
      <c r="C10" s="58"/>
      <c r="D10" s="58"/>
      <c r="E10" s="59"/>
      <c r="F10" s="107">
        <v>9.7500000000000003E-2</v>
      </c>
      <c r="G10" s="52"/>
      <c r="J10" s="8"/>
      <c r="K10" s="6"/>
      <c r="L10" s="6"/>
      <c r="M10" s="6"/>
      <c r="N10" s="6"/>
      <c r="O10" s="6"/>
      <c r="P10" s="6"/>
      <c r="Q10" s="50"/>
    </row>
    <row r="11" spans="1:19" ht="15.75" thickBot="1" x14ac:dyDescent="0.3">
      <c r="A11" s="108" t="s">
        <v>4</v>
      </c>
      <c r="B11" s="109"/>
      <c r="C11" s="109"/>
      <c r="D11" s="109"/>
      <c r="E11" s="110"/>
      <c r="F11" s="111">
        <v>9.7500000000000003E-2</v>
      </c>
      <c r="G11" s="52"/>
      <c r="J11" s="8"/>
      <c r="K11" s="6"/>
      <c r="L11" s="6"/>
      <c r="M11" s="6"/>
      <c r="N11" s="6"/>
      <c r="O11" s="6"/>
      <c r="P11" s="6"/>
    </row>
    <row r="12" spans="1:19" hidden="1" x14ac:dyDescent="0.25">
      <c r="A12" s="94"/>
      <c r="B12" s="95" t="s">
        <v>5</v>
      </c>
      <c r="C12" s="96"/>
      <c r="D12" s="96"/>
      <c r="E12" s="97"/>
      <c r="F12" s="98">
        <v>0</v>
      </c>
      <c r="G12" s="61" t="str">
        <f>IF(F12=0,"30/360",IF(F12=1,"Actual/Actual",IF(F12=2,"Real/360",IF(F12=3,"Real/365",IF(F12=4,"Europea 30/360","")))))</f>
        <v>30/360</v>
      </c>
      <c r="J12" s="8"/>
      <c r="K12" s="6"/>
      <c r="L12" s="6"/>
      <c r="M12" s="6"/>
      <c r="N12" s="6"/>
      <c r="O12" s="6"/>
      <c r="P12" s="7"/>
    </row>
    <row r="13" spans="1:19" hidden="1" x14ac:dyDescent="0.25">
      <c r="A13" s="62" t="s">
        <v>6</v>
      </c>
      <c r="B13" s="54" t="s">
        <v>7</v>
      </c>
      <c r="C13" s="55"/>
      <c r="D13" s="55"/>
      <c r="E13" s="56"/>
      <c r="F13" s="63">
        <v>100</v>
      </c>
      <c r="G13" s="64"/>
      <c r="J13" s="8"/>
      <c r="K13" s="6"/>
      <c r="L13" s="6"/>
      <c r="M13" s="6" t="s">
        <v>8</v>
      </c>
      <c r="N13" s="10">
        <f>((1+F23)^(F18-1))-1</f>
        <v>3.3735207256277144</v>
      </c>
      <c r="O13" s="11">
        <f>N13/N14</f>
        <v>15.822589964095631</v>
      </c>
      <c r="P13" s="12">
        <f>O13*F17</f>
        <v>77.135126074966195</v>
      </c>
    </row>
    <row r="14" spans="1:19" hidden="1" x14ac:dyDescent="0.25">
      <c r="A14" s="60"/>
      <c r="B14" s="54" t="s">
        <v>9</v>
      </c>
      <c r="C14" s="55"/>
      <c r="D14" s="55"/>
      <c r="E14" s="56"/>
      <c r="F14" s="60">
        <v>2</v>
      </c>
      <c r="G14" s="52"/>
      <c r="J14" s="8"/>
      <c r="K14" s="6"/>
      <c r="L14" s="6"/>
      <c r="M14" s="6" t="s">
        <v>10</v>
      </c>
      <c r="N14" s="13">
        <f>F23*((1+F23)^(F18-1))</f>
        <v>0.2132091353743511</v>
      </c>
      <c r="O14" s="6"/>
      <c r="P14" s="14"/>
    </row>
    <row r="15" spans="1:19" x14ac:dyDescent="0.25">
      <c r="A15" s="65"/>
      <c r="B15" s="66"/>
      <c r="C15" s="66"/>
      <c r="D15" s="66"/>
      <c r="E15" s="65"/>
      <c r="F15" s="65"/>
      <c r="G15" s="64"/>
      <c r="J15" s="8"/>
      <c r="K15" s="6"/>
      <c r="L15" s="6"/>
      <c r="M15" s="6"/>
      <c r="N15" s="13"/>
      <c r="O15" s="6"/>
      <c r="P15" s="14"/>
    </row>
    <row r="16" spans="1:19" hidden="1" x14ac:dyDescent="0.25">
      <c r="A16" s="67" t="s">
        <v>11</v>
      </c>
      <c r="B16" s="68"/>
      <c r="C16" s="68"/>
      <c r="D16" s="68"/>
      <c r="E16" s="52"/>
      <c r="F16" s="52"/>
      <c r="G16" s="52"/>
      <c r="J16" s="8"/>
      <c r="K16" s="6"/>
      <c r="L16" s="6"/>
      <c r="M16" s="6"/>
      <c r="N16" s="15" t="s">
        <v>12</v>
      </c>
      <c r="O16" s="15"/>
      <c r="P16" s="16">
        <f>PV(F23,F18-1,-F17,,0)</f>
        <v>77.135126074966209</v>
      </c>
    </row>
    <row r="17" spans="1:16" hidden="1" x14ac:dyDescent="0.25">
      <c r="A17" s="62" t="s">
        <v>13</v>
      </c>
      <c r="B17" s="54" t="s">
        <v>14</v>
      </c>
      <c r="C17" s="55"/>
      <c r="D17" s="55"/>
      <c r="E17" s="56"/>
      <c r="F17" s="63">
        <f>F13*(F10/F14)</f>
        <v>4.875</v>
      </c>
      <c r="G17" s="52"/>
      <c r="J17" s="8"/>
      <c r="K17" s="6"/>
      <c r="L17" s="6"/>
      <c r="M17" s="6"/>
      <c r="N17" s="6"/>
      <c r="O17" s="6"/>
      <c r="P17" s="7"/>
    </row>
    <row r="18" spans="1:16" hidden="1" x14ac:dyDescent="0.25">
      <c r="A18" s="62" t="s">
        <v>15</v>
      </c>
      <c r="B18" s="54" t="s">
        <v>16</v>
      </c>
      <c r="C18" s="55"/>
      <c r="D18" s="55"/>
      <c r="E18" s="56"/>
      <c r="F18" s="60">
        <f>+COUPNUM(F7,F8,F14,F12)</f>
        <v>32</v>
      </c>
      <c r="G18" s="52"/>
      <c r="J18" s="17" t="s">
        <v>17</v>
      </c>
      <c r="K18" s="6"/>
      <c r="L18" s="6"/>
      <c r="M18" s="6"/>
      <c r="N18" s="6"/>
      <c r="O18" s="6"/>
      <c r="P18" s="7"/>
    </row>
    <row r="19" spans="1:16" hidden="1" x14ac:dyDescent="0.25">
      <c r="A19" s="62" t="s">
        <v>18</v>
      </c>
      <c r="B19" s="54" t="s">
        <v>19</v>
      </c>
      <c r="C19" s="55"/>
      <c r="D19" s="55"/>
      <c r="E19" s="56"/>
      <c r="F19" s="60">
        <f>COUPDAYBS(F7,F8,F14,F12)</f>
        <v>76</v>
      </c>
      <c r="G19" s="52"/>
      <c r="J19" s="8"/>
      <c r="K19" s="6"/>
      <c r="L19" s="6"/>
      <c r="M19" s="6"/>
      <c r="N19" s="6"/>
      <c r="O19" s="6"/>
      <c r="P19" s="7"/>
    </row>
    <row r="20" spans="1:16" hidden="1" x14ac:dyDescent="0.25">
      <c r="A20" s="62" t="s">
        <v>20</v>
      </c>
      <c r="B20" s="54" t="s">
        <v>21</v>
      </c>
      <c r="C20" s="55"/>
      <c r="D20" s="55"/>
      <c r="E20" s="56"/>
      <c r="F20" s="60">
        <f>+COUPDAYSNC(F7,F8,F14,F12)</f>
        <v>104</v>
      </c>
      <c r="G20" s="52"/>
      <c r="J20" s="8"/>
      <c r="K20" s="6"/>
      <c r="L20" s="6"/>
      <c r="M20" s="6" t="s">
        <v>8</v>
      </c>
      <c r="N20" s="18">
        <f>F13</f>
        <v>100</v>
      </c>
      <c r="O20" s="19">
        <f>N20/N21</f>
        <v>22.864873925033791</v>
      </c>
      <c r="P20" s="7"/>
    </row>
    <row r="21" spans="1:16" hidden="1" x14ac:dyDescent="0.25">
      <c r="A21" s="62" t="s">
        <v>22</v>
      </c>
      <c r="B21" s="54" t="s">
        <v>23</v>
      </c>
      <c r="C21" s="55"/>
      <c r="D21" s="55"/>
      <c r="E21" s="56"/>
      <c r="F21" s="60">
        <f>+COUPDAYS(F7,F8,F14,F12)</f>
        <v>180</v>
      </c>
      <c r="G21" s="52"/>
      <c r="J21" s="8"/>
      <c r="K21" s="6"/>
      <c r="L21" s="6"/>
      <c r="M21" s="6" t="s">
        <v>10</v>
      </c>
      <c r="N21" s="20">
        <f>(1+F23)^(F18-1)</f>
        <v>4.3735207256277144</v>
      </c>
      <c r="O21" s="21"/>
      <c r="P21" s="7"/>
    </row>
    <row r="22" spans="1:16" hidden="1" x14ac:dyDescent="0.25">
      <c r="A22" s="62" t="s">
        <v>24</v>
      </c>
      <c r="B22" s="54" t="s">
        <v>25</v>
      </c>
      <c r="C22" s="55"/>
      <c r="D22" s="55"/>
      <c r="E22" s="56"/>
      <c r="F22" s="60">
        <v>360</v>
      </c>
      <c r="G22" s="52"/>
      <c r="J22" s="8"/>
      <c r="K22" s="6"/>
      <c r="L22" s="6"/>
      <c r="M22" s="6"/>
      <c r="N22" s="15" t="s">
        <v>26</v>
      </c>
      <c r="O22" s="22">
        <f>PV(F23,F18-1,,-F13,0)</f>
        <v>22.864873925033791</v>
      </c>
      <c r="P22" s="7"/>
    </row>
    <row r="23" spans="1:16" hidden="1" x14ac:dyDescent="0.25">
      <c r="A23" s="62" t="s">
        <v>27</v>
      </c>
      <c r="B23" s="54" t="s">
        <v>28</v>
      </c>
      <c r="C23" s="55"/>
      <c r="D23" s="55"/>
      <c r="E23" s="56"/>
      <c r="F23" s="60">
        <f>F11/F14</f>
        <v>4.8750000000000002E-2</v>
      </c>
      <c r="G23" s="52"/>
      <c r="J23" s="17" t="s">
        <v>29</v>
      </c>
      <c r="K23" s="6"/>
      <c r="L23" s="6"/>
      <c r="M23" s="6"/>
      <c r="N23" s="6"/>
      <c r="O23" s="6"/>
      <c r="P23" s="7"/>
    </row>
    <row r="24" spans="1:16" ht="18" hidden="1" x14ac:dyDescent="0.35">
      <c r="A24" s="62" t="s">
        <v>30</v>
      </c>
      <c r="B24" s="54" t="s">
        <v>31</v>
      </c>
      <c r="C24" s="55"/>
      <c r="D24" s="55"/>
      <c r="E24" s="56"/>
      <c r="F24" s="69">
        <f>M40</f>
        <v>4.9250461708619353E-2</v>
      </c>
      <c r="G24" s="52"/>
      <c r="J24" s="17"/>
      <c r="K24" s="6"/>
      <c r="L24" s="6"/>
      <c r="M24" s="6"/>
      <c r="N24" s="6"/>
      <c r="O24" s="6"/>
      <c r="P24" s="7"/>
    </row>
    <row r="25" spans="1:16" hidden="1" x14ac:dyDescent="0.25">
      <c r="A25" s="70"/>
      <c r="B25" s="52"/>
      <c r="C25" s="52"/>
      <c r="D25" s="52"/>
      <c r="E25" s="52"/>
      <c r="F25" s="52"/>
      <c r="G25" s="52"/>
      <c r="J25" s="8"/>
      <c r="K25" s="6"/>
      <c r="L25" s="6"/>
      <c r="M25" s="6"/>
      <c r="N25" s="6"/>
      <c r="O25" s="6"/>
      <c r="P25" s="7"/>
    </row>
    <row r="26" spans="1:16" hidden="1" x14ac:dyDescent="0.25">
      <c r="A26" s="67" t="s">
        <v>32</v>
      </c>
      <c r="B26" s="52"/>
      <c r="C26" s="52"/>
      <c r="D26" s="52"/>
      <c r="E26" s="52"/>
      <c r="F26" s="52"/>
      <c r="G26" s="52"/>
      <c r="J26" s="8"/>
      <c r="K26" s="6"/>
      <c r="L26" s="6"/>
      <c r="M26" s="6"/>
      <c r="N26" s="6"/>
      <c r="O26" s="6"/>
      <c r="P26" s="7"/>
    </row>
    <row r="27" spans="1:16" hidden="1" x14ac:dyDescent="0.25">
      <c r="A27" s="60"/>
      <c r="B27" s="54" t="s">
        <v>33</v>
      </c>
      <c r="C27" s="55"/>
      <c r="D27" s="57"/>
      <c r="E27" s="71" t="s">
        <v>34</v>
      </c>
      <c r="F27" s="72"/>
      <c r="G27" s="52"/>
      <c r="J27" s="8"/>
      <c r="K27" s="6"/>
      <c r="L27" s="6"/>
      <c r="M27" s="6"/>
      <c r="N27" s="6"/>
      <c r="O27" s="6"/>
      <c r="P27" s="7"/>
    </row>
    <row r="28" spans="1:16" hidden="1" x14ac:dyDescent="0.25">
      <c r="A28" s="65"/>
      <c r="B28" s="66"/>
      <c r="C28" s="66"/>
      <c r="D28" s="66"/>
      <c r="E28" s="65"/>
      <c r="F28" s="73"/>
      <c r="G28" s="74"/>
      <c r="H28" s="24"/>
      <c r="J28" s="8"/>
      <c r="K28" s="6"/>
      <c r="L28" s="6" t="s">
        <v>35</v>
      </c>
      <c r="M28" s="6"/>
      <c r="N28" s="6"/>
      <c r="O28" s="25">
        <f>P13</f>
        <v>77.135126074966195</v>
      </c>
      <c r="P28" s="7"/>
    </row>
    <row r="29" spans="1:16" x14ac:dyDescent="0.25">
      <c r="A29" s="65"/>
      <c r="B29" s="66"/>
      <c r="C29" s="66"/>
      <c r="D29" s="66"/>
      <c r="E29" s="65"/>
      <c r="F29" s="73"/>
      <c r="G29" s="74"/>
      <c r="H29" s="24"/>
      <c r="J29" s="8"/>
      <c r="K29" s="6"/>
      <c r="L29" s="6"/>
      <c r="M29" s="6"/>
      <c r="N29" s="6"/>
      <c r="O29" s="25"/>
      <c r="P29" s="7"/>
    </row>
    <row r="30" spans="1:16" x14ac:dyDescent="0.25">
      <c r="A30" s="65"/>
      <c r="B30" s="66"/>
      <c r="C30" s="66"/>
      <c r="D30" s="66"/>
      <c r="E30" s="65"/>
      <c r="F30" s="73"/>
      <c r="G30" s="74"/>
      <c r="H30" s="24"/>
      <c r="J30" s="8"/>
      <c r="K30" s="6"/>
      <c r="L30" s="6"/>
      <c r="M30" s="6"/>
      <c r="N30" s="6"/>
      <c r="O30" s="25"/>
      <c r="P30" s="7"/>
    </row>
    <row r="31" spans="1:16" x14ac:dyDescent="0.25">
      <c r="A31" s="65"/>
      <c r="B31" s="66"/>
      <c r="C31" s="66"/>
      <c r="D31" s="66"/>
      <c r="E31" s="65"/>
      <c r="F31" s="73"/>
      <c r="G31" s="74"/>
      <c r="H31" s="24"/>
      <c r="J31" s="8"/>
      <c r="K31" s="6"/>
      <c r="L31" s="6"/>
      <c r="M31" s="6"/>
      <c r="N31" s="6"/>
      <c r="O31" s="25"/>
      <c r="P31" s="7"/>
    </row>
    <row r="32" spans="1:16" x14ac:dyDescent="0.25">
      <c r="A32" s="65"/>
      <c r="B32" s="66"/>
      <c r="C32" s="66"/>
      <c r="D32" s="66"/>
      <c r="E32" s="65"/>
      <c r="F32" s="73"/>
      <c r="G32" s="74"/>
      <c r="H32" s="24"/>
      <c r="J32" s="8"/>
      <c r="K32" s="6"/>
      <c r="L32" s="6"/>
      <c r="M32" s="6"/>
      <c r="N32" s="6"/>
      <c r="O32" s="25"/>
      <c r="P32" s="7"/>
    </row>
    <row r="33" spans="1:17" x14ac:dyDescent="0.25">
      <c r="A33" s="65"/>
      <c r="B33" s="66"/>
      <c r="C33" s="66"/>
      <c r="D33" s="66"/>
      <c r="E33" s="65"/>
      <c r="F33" s="73"/>
      <c r="G33" s="74"/>
      <c r="H33" s="24"/>
      <c r="J33" s="8"/>
      <c r="K33" s="6"/>
      <c r="L33" s="6"/>
      <c r="M33" s="6"/>
      <c r="N33" s="6"/>
      <c r="O33" s="25"/>
      <c r="P33" s="7"/>
    </row>
    <row r="34" spans="1:17" ht="6" customHeight="1" x14ac:dyDescent="0.25">
      <c r="A34" s="65"/>
      <c r="B34" s="66"/>
      <c r="C34" s="66"/>
      <c r="D34" s="66"/>
      <c r="E34" s="65"/>
      <c r="F34" s="73"/>
      <c r="G34" s="74"/>
      <c r="H34" s="24"/>
      <c r="J34" s="8"/>
      <c r="K34" s="6"/>
      <c r="L34" s="6"/>
      <c r="M34" s="6"/>
      <c r="N34" s="6"/>
      <c r="O34" s="25"/>
      <c r="P34" s="7"/>
    </row>
    <row r="35" spans="1:17" ht="31.5" customHeight="1" x14ac:dyDescent="0.25">
      <c r="A35" s="75" t="s">
        <v>48</v>
      </c>
      <c r="B35" s="75"/>
      <c r="C35" s="75"/>
      <c r="D35" s="75"/>
      <c r="E35" s="75"/>
      <c r="F35" s="75"/>
      <c r="G35" s="76"/>
      <c r="J35" s="8"/>
      <c r="K35" s="6"/>
      <c r="L35" s="6" t="s">
        <v>36</v>
      </c>
      <c r="M35" s="6"/>
      <c r="N35" s="6"/>
      <c r="O35" s="25">
        <f>O20</f>
        <v>22.864873925033791</v>
      </c>
      <c r="P35" s="7"/>
    </row>
    <row r="36" spans="1:17" ht="13.5" customHeight="1" x14ac:dyDescent="0.25">
      <c r="A36" s="52"/>
      <c r="B36" s="52"/>
      <c r="C36" s="52"/>
      <c r="D36" s="52"/>
      <c r="E36" s="52"/>
      <c r="F36" s="52"/>
      <c r="G36" s="74"/>
      <c r="I36" s="6"/>
      <c r="J36" s="8"/>
      <c r="K36" s="6"/>
      <c r="L36" s="6" t="s">
        <v>37</v>
      </c>
      <c r="M36" s="6"/>
      <c r="N36" s="6"/>
      <c r="O36" s="26">
        <f>F13*(F10/F14)*(F20/F21)</f>
        <v>2.8166666666666664</v>
      </c>
      <c r="P36" s="7"/>
      <c r="Q36" s="49"/>
    </row>
    <row r="37" spans="1:17" ht="30" x14ac:dyDescent="0.25">
      <c r="A37" s="51" t="s">
        <v>15</v>
      </c>
      <c r="B37" s="51" t="s">
        <v>38</v>
      </c>
      <c r="C37" s="51" t="s">
        <v>39</v>
      </c>
      <c r="D37" s="51" t="s">
        <v>40</v>
      </c>
      <c r="E37" s="51" t="s">
        <v>41</v>
      </c>
      <c r="F37" s="51" t="s">
        <v>50</v>
      </c>
      <c r="G37" s="77" t="s">
        <v>42</v>
      </c>
      <c r="H37" s="6"/>
      <c r="I37" s="6"/>
      <c r="J37" s="8"/>
      <c r="K37" s="6"/>
      <c r="L37" s="6" t="s">
        <v>43</v>
      </c>
      <c r="M37" s="6"/>
      <c r="N37" s="6"/>
      <c r="O37" s="25">
        <f>SUM(O28:O36)</f>
        <v>102.81666666666665</v>
      </c>
      <c r="P37" s="7"/>
      <c r="Q37" s="48"/>
    </row>
    <row r="38" spans="1:17" x14ac:dyDescent="0.25">
      <c r="A38" s="60">
        <v>0</v>
      </c>
      <c r="B38" s="78">
        <f>F7</f>
        <v>40939</v>
      </c>
      <c r="C38" s="60"/>
      <c r="D38" s="60"/>
      <c r="E38" s="90">
        <f>ROUND((SUM(F39:F158)/(1+G39)^(C39/D39)),4)</f>
        <v>100</v>
      </c>
      <c r="F38" s="60"/>
      <c r="G38" s="79"/>
      <c r="H38" s="27"/>
      <c r="I38" s="6"/>
      <c r="J38" s="8"/>
      <c r="K38" s="6"/>
      <c r="L38" s="6"/>
      <c r="M38" s="6"/>
      <c r="N38" s="6"/>
      <c r="O38" s="6"/>
      <c r="P38" s="7"/>
    </row>
    <row r="39" spans="1:17" x14ac:dyDescent="0.25">
      <c r="A39" s="60">
        <v>1</v>
      </c>
      <c r="B39" s="80">
        <f t="shared" ref="B39:B70" si="0">IFERROR(IF($F$18-1&gt;0,COUPNCD(B38,$F$8,$F$14,$F$12),""),"")</f>
        <v>41044</v>
      </c>
      <c r="C39" s="81">
        <f>IFERROR(IF($F$18-1&gt;0,COUPDAYSNC($B$38,$F$8,$F$14,$F$12),""),"")</f>
        <v>104</v>
      </c>
      <c r="D39" s="60">
        <f t="shared" ref="D39:D70" si="1">IFERROR(IF($F$18-1&gt;0,COUPDAYS(B38,B39,$F$14,$F$12),""),"")</f>
        <v>180</v>
      </c>
      <c r="E39" s="82">
        <f t="shared" ref="E39:E70" si="2">IFERROR(IF(A39&lt;$F$18,$F$13*($F$10/$F$14)*(C39/D39),IF(A39=$F$18,$F$13*($F$10/$F$14)*(C39/D39)+$F$13,"")),"")</f>
        <v>2.8166666666666664</v>
      </c>
      <c r="F39" s="83">
        <f t="shared" ref="F39:F70" si="3">IFERROR(IF(A39=1,E39,IF(A39&lt;=$F$18,(E39/((1+G39)^(A39-1))),"")),"")</f>
        <v>2.8166666666666664</v>
      </c>
      <c r="G39" s="84">
        <f t="shared" ref="G39:G84" si="4">IFERROR(IF(A39&lt;=$F$18,(1+($F$23/(D39/C39)))^(D39/C39)-1,""),"")</f>
        <v>4.9250461708619353E-2</v>
      </c>
      <c r="H39" s="28"/>
      <c r="I39" s="6"/>
      <c r="J39" s="8"/>
      <c r="K39" s="6"/>
      <c r="L39" s="6"/>
      <c r="M39" s="6"/>
      <c r="N39" s="6"/>
      <c r="O39" s="6"/>
      <c r="P39" s="7"/>
    </row>
    <row r="40" spans="1:17" x14ac:dyDescent="0.25">
      <c r="A40" s="60">
        <f t="shared" ref="A40:A71" si="5">IFERROR(IF(A39+1&lt;=$F$18,A39+1,""),"")</f>
        <v>2</v>
      </c>
      <c r="B40" s="78">
        <f t="shared" si="0"/>
        <v>41228</v>
      </c>
      <c r="C40" s="81">
        <f t="shared" ref="C40:C71" si="6">IFERROR(IF($F$18-1&gt;0,COUPDAYSNC(B39,$F$8,$F$14,$F$12),""),"")</f>
        <v>180</v>
      </c>
      <c r="D40" s="60">
        <f t="shared" si="1"/>
        <v>180</v>
      </c>
      <c r="E40" s="85">
        <f t="shared" si="2"/>
        <v>4.875</v>
      </c>
      <c r="F40" s="83">
        <f t="shared" si="3"/>
        <v>4.6483909415971389</v>
      </c>
      <c r="G40" s="84">
        <f t="shared" si="4"/>
        <v>4.8750000000000071E-2</v>
      </c>
      <c r="H40" s="29"/>
      <c r="I40" s="27"/>
      <c r="J40" s="8"/>
      <c r="K40" s="6"/>
      <c r="L40" s="6"/>
      <c r="M40" s="30">
        <f>(1+F23/(D39/C39))^(D39/C39)-1</f>
        <v>4.9250461708619353E-2</v>
      </c>
      <c r="N40" s="6"/>
      <c r="O40" s="6"/>
      <c r="P40" s="7"/>
    </row>
    <row r="41" spans="1:17" x14ac:dyDescent="0.25">
      <c r="A41" s="60">
        <f t="shared" si="5"/>
        <v>3</v>
      </c>
      <c r="B41" s="78">
        <f t="shared" si="0"/>
        <v>41409</v>
      </c>
      <c r="C41" s="81">
        <f t="shared" si="6"/>
        <v>180</v>
      </c>
      <c r="D41" s="60">
        <f t="shared" si="1"/>
        <v>180</v>
      </c>
      <c r="E41" s="82">
        <f t="shared" si="2"/>
        <v>4.875</v>
      </c>
      <c r="F41" s="83">
        <f t="shared" si="3"/>
        <v>4.4323155581379154</v>
      </c>
      <c r="G41" s="84">
        <f t="shared" si="4"/>
        <v>4.8750000000000071E-2</v>
      </c>
      <c r="H41" s="31"/>
      <c r="I41" s="32"/>
      <c r="J41" s="8"/>
      <c r="K41" s="6"/>
      <c r="L41" s="6"/>
      <c r="M41" s="6"/>
      <c r="N41" s="6"/>
      <c r="O41" s="6"/>
      <c r="P41" s="7"/>
    </row>
    <row r="42" spans="1:17" x14ac:dyDescent="0.25">
      <c r="A42" s="60">
        <f t="shared" si="5"/>
        <v>4</v>
      </c>
      <c r="B42" s="78">
        <f t="shared" si="0"/>
        <v>41593</v>
      </c>
      <c r="C42" s="81">
        <f t="shared" si="6"/>
        <v>180</v>
      </c>
      <c r="D42" s="60">
        <f t="shared" si="1"/>
        <v>180</v>
      </c>
      <c r="E42" s="82">
        <f t="shared" si="2"/>
        <v>4.875</v>
      </c>
      <c r="F42" s="83">
        <f t="shared" si="3"/>
        <v>4.2262842032304313</v>
      </c>
      <c r="G42" s="84">
        <f t="shared" si="4"/>
        <v>4.8750000000000071E-2</v>
      </c>
      <c r="H42" s="31"/>
      <c r="I42" s="33"/>
      <c r="J42" s="8"/>
      <c r="K42" s="6"/>
      <c r="L42" s="6"/>
      <c r="M42" s="6" t="s">
        <v>8</v>
      </c>
      <c r="N42" s="34">
        <f>O37</f>
        <v>102.81666666666665</v>
      </c>
      <c r="O42" s="35">
        <f>N42/N43</f>
        <v>99.999999999999986</v>
      </c>
      <c r="P42" s="7"/>
    </row>
    <row r="43" spans="1:17" x14ac:dyDescent="0.25">
      <c r="A43" s="60">
        <f t="shared" si="5"/>
        <v>5</v>
      </c>
      <c r="B43" s="78">
        <f t="shared" si="0"/>
        <v>41774</v>
      </c>
      <c r="C43" s="81">
        <f t="shared" si="6"/>
        <v>180</v>
      </c>
      <c r="D43" s="60">
        <f t="shared" si="1"/>
        <v>180</v>
      </c>
      <c r="E43" s="82">
        <f t="shared" si="2"/>
        <v>4.875</v>
      </c>
      <c r="F43" s="83">
        <f t="shared" si="3"/>
        <v>4.0298299911613169</v>
      </c>
      <c r="G43" s="84">
        <f t="shared" si="4"/>
        <v>4.8750000000000071E-2</v>
      </c>
      <c r="H43" s="31"/>
      <c r="I43" s="33"/>
      <c r="J43" s="8"/>
      <c r="K43" s="6"/>
      <c r="L43" s="6"/>
      <c r="M43" s="6" t="s">
        <v>10</v>
      </c>
      <c r="N43" s="11">
        <f>(1+M40)^(F20/F21)</f>
        <v>1.0281666666666667</v>
      </c>
      <c r="O43" s="21"/>
      <c r="P43" s="7"/>
    </row>
    <row r="44" spans="1:17" x14ac:dyDescent="0.25">
      <c r="A44" s="60">
        <f t="shared" si="5"/>
        <v>6</v>
      </c>
      <c r="B44" s="78">
        <f t="shared" si="0"/>
        <v>41958</v>
      </c>
      <c r="C44" s="81">
        <f t="shared" si="6"/>
        <v>180</v>
      </c>
      <c r="D44" s="60">
        <f t="shared" si="1"/>
        <v>180</v>
      </c>
      <c r="E44" s="82">
        <f t="shared" si="2"/>
        <v>4.875</v>
      </c>
      <c r="F44" s="83">
        <f t="shared" si="3"/>
        <v>3.8425077388904088</v>
      </c>
      <c r="G44" s="84">
        <f t="shared" si="4"/>
        <v>4.8750000000000071E-2</v>
      </c>
      <c r="H44" s="31"/>
      <c r="I44" s="33"/>
      <c r="J44" s="8"/>
      <c r="K44" s="6"/>
      <c r="L44" s="6"/>
      <c r="M44" s="6"/>
      <c r="N44" s="15" t="s">
        <v>26</v>
      </c>
      <c r="O44" s="36">
        <f>PV(G39,F20/F21,,-O37,0)</f>
        <v>99.999999999999986</v>
      </c>
      <c r="P44" s="7"/>
    </row>
    <row r="45" spans="1:17" x14ac:dyDescent="0.25">
      <c r="A45" s="60">
        <f t="shared" si="5"/>
        <v>7</v>
      </c>
      <c r="B45" s="78">
        <f t="shared" si="0"/>
        <v>42139</v>
      </c>
      <c r="C45" s="81">
        <f t="shared" si="6"/>
        <v>180</v>
      </c>
      <c r="D45" s="60">
        <f t="shared" si="1"/>
        <v>180</v>
      </c>
      <c r="E45" s="82">
        <f t="shared" si="2"/>
        <v>4.875</v>
      </c>
      <c r="F45" s="83">
        <f t="shared" si="3"/>
        <v>3.6638929572256576</v>
      </c>
      <c r="G45" s="84">
        <f t="shared" si="4"/>
        <v>4.8750000000000071E-2</v>
      </c>
      <c r="H45" s="31"/>
      <c r="I45" s="33"/>
      <c r="J45" s="8"/>
      <c r="K45" s="6"/>
      <c r="L45" s="6"/>
      <c r="M45" s="6"/>
      <c r="N45" s="6"/>
      <c r="O45" s="6"/>
      <c r="P45" s="7"/>
    </row>
    <row r="46" spans="1:17" x14ac:dyDescent="0.25">
      <c r="A46" s="60">
        <f t="shared" si="5"/>
        <v>8</v>
      </c>
      <c r="B46" s="78">
        <f t="shared" si="0"/>
        <v>42323</v>
      </c>
      <c r="C46" s="81">
        <f t="shared" si="6"/>
        <v>180</v>
      </c>
      <c r="D46" s="60">
        <f t="shared" si="1"/>
        <v>180</v>
      </c>
      <c r="E46" s="82">
        <f t="shared" si="2"/>
        <v>4.875</v>
      </c>
      <c r="F46" s="83">
        <f t="shared" si="3"/>
        <v>3.4935808888921644</v>
      </c>
      <c r="G46" s="84">
        <f t="shared" si="4"/>
        <v>4.8750000000000071E-2</v>
      </c>
      <c r="H46" s="31"/>
      <c r="I46" s="33"/>
      <c r="J46" s="17" t="s">
        <v>44</v>
      </c>
      <c r="K46" s="6"/>
      <c r="L46" s="6"/>
      <c r="M46" s="6"/>
      <c r="N46" s="6"/>
      <c r="O46" s="6"/>
      <c r="P46" s="7"/>
    </row>
    <row r="47" spans="1:17" x14ac:dyDescent="0.25">
      <c r="A47" s="60">
        <f t="shared" si="5"/>
        <v>9</v>
      </c>
      <c r="B47" s="78">
        <f t="shared" si="0"/>
        <v>42505</v>
      </c>
      <c r="C47" s="81">
        <f t="shared" si="6"/>
        <v>180</v>
      </c>
      <c r="D47" s="60">
        <f t="shared" si="1"/>
        <v>180</v>
      </c>
      <c r="E47" s="82">
        <f t="shared" si="2"/>
        <v>4.875</v>
      </c>
      <c r="F47" s="83">
        <f t="shared" si="3"/>
        <v>3.3311855913155317</v>
      </c>
      <c r="G47" s="84">
        <f t="shared" si="4"/>
        <v>4.8750000000000071E-2</v>
      </c>
      <c r="H47" s="31"/>
      <c r="I47" s="33"/>
      <c r="J47" s="37" t="s">
        <v>45</v>
      </c>
      <c r="K47" s="6"/>
      <c r="L47" s="6"/>
      <c r="M47" s="38">
        <f>ROUND(O42,4)</f>
        <v>100</v>
      </c>
      <c r="N47" s="6"/>
      <c r="O47" s="6"/>
      <c r="P47" s="7"/>
    </row>
    <row r="48" spans="1:17" x14ac:dyDescent="0.25">
      <c r="A48" s="60">
        <f t="shared" si="5"/>
        <v>10</v>
      </c>
      <c r="B48" s="78">
        <f t="shared" si="0"/>
        <v>42689</v>
      </c>
      <c r="C48" s="81">
        <f t="shared" si="6"/>
        <v>180</v>
      </c>
      <c r="D48" s="60">
        <f t="shared" si="1"/>
        <v>180</v>
      </c>
      <c r="E48" s="82">
        <f t="shared" si="2"/>
        <v>4.875</v>
      </c>
      <c r="F48" s="83">
        <f t="shared" si="3"/>
        <v>3.1763390620410314</v>
      </c>
      <c r="G48" s="84">
        <f t="shared" si="4"/>
        <v>4.8750000000000071E-2</v>
      </c>
      <c r="H48" s="31"/>
      <c r="I48" s="33"/>
      <c r="J48" s="8" t="str">
        <f>A9</f>
        <v>Valor nominal demandado</v>
      </c>
      <c r="K48" s="6"/>
      <c r="L48" s="28"/>
      <c r="M48" s="39">
        <f>F9</f>
        <v>100000</v>
      </c>
      <c r="N48" s="6"/>
      <c r="O48" s="6"/>
      <c r="P48" s="7"/>
    </row>
    <row r="49" spans="1:16" x14ac:dyDescent="0.25">
      <c r="A49" s="60">
        <f t="shared" si="5"/>
        <v>11</v>
      </c>
      <c r="B49" s="78">
        <f t="shared" si="0"/>
        <v>42870</v>
      </c>
      <c r="C49" s="81">
        <f t="shared" si="6"/>
        <v>180</v>
      </c>
      <c r="D49" s="60">
        <f t="shared" si="1"/>
        <v>180</v>
      </c>
      <c r="E49" s="82">
        <f t="shared" si="2"/>
        <v>4.875</v>
      </c>
      <c r="F49" s="83">
        <f t="shared" si="3"/>
        <v>3.0286904048067043</v>
      </c>
      <c r="G49" s="84">
        <f t="shared" si="4"/>
        <v>4.8750000000000071E-2</v>
      </c>
      <c r="H49" s="31"/>
      <c r="I49" s="33"/>
      <c r="J49" s="17" t="s">
        <v>46</v>
      </c>
      <c r="K49" s="40"/>
      <c r="L49" s="41"/>
      <c r="M49" s="19">
        <f>(M48*M47)/100</f>
        <v>100000</v>
      </c>
      <c r="N49" s="6"/>
      <c r="O49" s="6"/>
      <c r="P49" s="7"/>
    </row>
    <row r="50" spans="1:16" x14ac:dyDescent="0.25">
      <c r="A50" s="60">
        <f t="shared" si="5"/>
        <v>12</v>
      </c>
      <c r="B50" s="78">
        <f t="shared" si="0"/>
        <v>43054</v>
      </c>
      <c r="C50" s="81">
        <f t="shared" si="6"/>
        <v>180</v>
      </c>
      <c r="D50" s="60">
        <f t="shared" si="1"/>
        <v>180</v>
      </c>
      <c r="E50" s="82">
        <f t="shared" si="2"/>
        <v>4.875</v>
      </c>
      <c r="F50" s="83">
        <f t="shared" si="3"/>
        <v>2.8879050343806472</v>
      </c>
      <c r="G50" s="84">
        <f t="shared" si="4"/>
        <v>4.8750000000000071E-2</v>
      </c>
      <c r="H50" s="31"/>
      <c r="I50" s="33"/>
      <c r="J50" s="42" t="str">
        <f>IF(M50&lt;&gt;0,IF(M50&lt;0,"Descuento","Prima"), "A la par")</f>
        <v>A la par</v>
      </c>
      <c r="K50" s="6"/>
      <c r="L50" s="43"/>
      <c r="M50" s="28">
        <f>M49-M48</f>
        <v>0</v>
      </c>
      <c r="N50" s="6"/>
      <c r="O50" s="6"/>
      <c r="P50" s="7"/>
    </row>
    <row r="51" spans="1:16" x14ac:dyDescent="0.25">
      <c r="A51" s="60">
        <f t="shared" si="5"/>
        <v>13</v>
      </c>
      <c r="B51" s="78">
        <f t="shared" si="0"/>
        <v>43235</v>
      </c>
      <c r="C51" s="81">
        <f t="shared" si="6"/>
        <v>180</v>
      </c>
      <c r="D51" s="60">
        <f t="shared" si="1"/>
        <v>180</v>
      </c>
      <c r="E51" s="82">
        <f t="shared" si="2"/>
        <v>4.875</v>
      </c>
      <c r="F51" s="83">
        <f t="shared" si="3"/>
        <v>2.7536639183605693</v>
      </c>
      <c r="G51" s="84">
        <f t="shared" si="4"/>
        <v>4.8750000000000071E-2</v>
      </c>
      <c r="H51" s="31"/>
      <c r="I51" s="33"/>
      <c r="J51" s="44"/>
      <c r="K51" s="18"/>
      <c r="L51" s="45"/>
      <c r="M51" s="18"/>
      <c r="N51" s="18"/>
      <c r="O51" s="18"/>
      <c r="P51" s="46"/>
    </row>
    <row r="52" spans="1:16" x14ac:dyDescent="0.25">
      <c r="A52" s="60">
        <f t="shared" si="5"/>
        <v>14</v>
      </c>
      <c r="B52" s="78">
        <f t="shared" si="0"/>
        <v>43419</v>
      </c>
      <c r="C52" s="81">
        <f t="shared" si="6"/>
        <v>180</v>
      </c>
      <c r="D52" s="60">
        <f t="shared" si="1"/>
        <v>180</v>
      </c>
      <c r="E52" s="82">
        <f t="shared" si="2"/>
        <v>4.875</v>
      </c>
      <c r="F52" s="83">
        <f t="shared" si="3"/>
        <v>2.6256628542174676</v>
      </c>
      <c r="G52" s="84">
        <f t="shared" si="4"/>
        <v>4.8750000000000071E-2</v>
      </c>
      <c r="H52" s="31"/>
      <c r="I52" s="33"/>
      <c r="K52" s="29"/>
    </row>
    <row r="53" spans="1:16" x14ac:dyDescent="0.25">
      <c r="A53" s="60">
        <f t="shared" si="5"/>
        <v>15</v>
      </c>
      <c r="B53" s="78">
        <f t="shared" si="0"/>
        <v>43600</v>
      </c>
      <c r="C53" s="81">
        <f t="shared" si="6"/>
        <v>180</v>
      </c>
      <c r="D53" s="60">
        <f t="shared" si="1"/>
        <v>180</v>
      </c>
      <c r="E53" s="82">
        <f t="shared" si="2"/>
        <v>4.875</v>
      </c>
      <c r="F53" s="83">
        <f t="shared" si="3"/>
        <v>2.5036117799451416</v>
      </c>
      <c r="G53" s="84">
        <f t="shared" si="4"/>
        <v>4.8750000000000071E-2</v>
      </c>
      <c r="H53" s="31"/>
      <c r="I53" s="33"/>
      <c r="K53" s="6"/>
    </row>
    <row r="54" spans="1:16" x14ac:dyDescent="0.25">
      <c r="A54" s="60">
        <f t="shared" si="5"/>
        <v>16</v>
      </c>
      <c r="B54" s="78">
        <f t="shared" si="0"/>
        <v>43784</v>
      </c>
      <c r="C54" s="81">
        <f t="shared" si="6"/>
        <v>180</v>
      </c>
      <c r="D54" s="60">
        <f t="shared" si="1"/>
        <v>180</v>
      </c>
      <c r="E54" s="82">
        <f t="shared" si="2"/>
        <v>4.875</v>
      </c>
      <c r="F54" s="83">
        <f t="shared" si="3"/>
        <v>2.3872341167534126</v>
      </c>
      <c r="G54" s="84">
        <f t="shared" si="4"/>
        <v>4.8750000000000071E-2</v>
      </c>
      <c r="H54" s="31"/>
      <c r="I54" s="33"/>
      <c r="J54" s="9"/>
      <c r="K54" s="6"/>
      <c r="L54" s="47"/>
    </row>
    <row r="55" spans="1:16" x14ac:dyDescent="0.25">
      <c r="A55" s="60">
        <f t="shared" si="5"/>
        <v>17</v>
      </c>
      <c r="B55" s="78">
        <f t="shared" si="0"/>
        <v>43966</v>
      </c>
      <c r="C55" s="81">
        <f t="shared" si="6"/>
        <v>180</v>
      </c>
      <c r="D55" s="60">
        <f t="shared" si="1"/>
        <v>180</v>
      </c>
      <c r="E55" s="82">
        <f t="shared" si="2"/>
        <v>4.875</v>
      </c>
      <c r="F55" s="83">
        <f t="shared" si="3"/>
        <v>2.2762661423155301</v>
      </c>
      <c r="G55" s="84">
        <f t="shared" si="4"/>
        <v>4.8750000000000071E-2</v>
      </c>
      <c r="H55" s="31"/>
      <c r="I55" s="33"/>
      <c r="K55" s="6"/>
    </row>
    <row r="56" spans="1:16" x14ac:dyDescent="0.25">
      <c r="A56" s="60">
        <f t="shared" si="5"/>
        <v>18</v>
      </c>
      <c r="B56" s="78">
        <f t="shared" si="0"/>
        <v>44150</v>
      </c>
      <c r="C56" s="81">
        <f t="shared" si="6"/>
        <v>180</v>
      </c>
      <c r="D56" s="60">
        <f t="shared" si="1"/>
        <v>180</v>
      </c>
      <c r="E56" s="82">
        <f t="shared" si="2"/>
        <v>4.875</v>
      </c>
      <c r="F56" s="83">
        <f t="shared" si="3"/>
        <v>2.1704563931494922</v>
      </c>
      <c r="G56" s="84">
        <f t="shared" si="4"/>
        <v>4.8750000000000071E-2</v>
      </c>
      <c r="H56" s="31"/>
      <c r="I56" s="33"/>
    </row>
    <row r="57" spans="1:16" x14ac:dyDescent="0.25">
      <c r="A57" s="60">
        <f t="shared" si="5"/>
        <v>19</v>
      </c>
      <c r="B57" s="78">
        <f t="shared" si="0"/>
        <v>44331</v>
      </c>
      <c r="C57" s="81">
        <f t="shared" si="6"/>
        <v>180</v>
      </c>
      <c r="D57" s="60">
        <f t="shared" si="1"/>
        <v>180</v>
      </c>
      <c r="E57" s="82">
        <f t="shared" si="2"/>
        <v>4.875</v>
      </c>
      <c r="F57" s="83">
        <f t="shared" si="3"/>
        <v>2.0695650947790152</v>
      </c>
      <c r="G57" s="84">
        <f t="shared" si="4"/>
        <v>4.8750000000000071E-2</v>
      </c>
      <c r="H57" s="31"/>
      <c r="I57" s="33"/>
    </row>
    <row r="58" spans="1:16" x14ac:dyDescent="0.25">
      <c r="A58" s="60">
        <f t="shared" si="5"/>
        <v>20</v>
      </c>
      <c r="B58" s="78">
        <f t="shared" si="0"/>
        <v>44515</v>
      </c>
      <c r="C58" s="81">
        <f t="shared" si="6"/>
        <v>180</v>
      </c>
      <c r="D58" s="60">
        <f t="shared" si="1"/>
        <v>180</v>
      </c>
      <c r="E58" s="82">
        <f t="shared" si="2"/>
        <v>4.875</v>
      </c>
      <c r="F58" s="83">
        <f t="shared" si="3"/>
        <v>1.9733636183828509</v>
      </c>
      <c r="G58" s="84">
        <f t="shared" si="4"/>
        <v>4.8750000000000071E-2</v>
      </c>
      <c r="H58" s="31"/>
      <c r="I58" s="33"/>
    </row>
    <row r="59" spans="1:16" x14ac:dyDescent="0.25">
      <c r="A59" s="60">
        <f t="shared" si="5"/>
        <v>21</v>
      </c>
      <c r="B59" s="78">
        <f t="shared" si="0"/>
        <v>44696</v>
      </c>
      <c r="C59" s="81">
        <f t="shared" si="6"/>
        <v>180</v>
      </c>
      <c r="D59" s="60">
        <f t="shared" si="1"/>
        <v>180</v>
      </c>
      <c r="E59" s="82">
        <f t="shared" si="2"/>
        <v>4.875</v>
      </c>
      <c r="F59" s="83">
        <f t="shared" si="3"/>
        <v>1.8816339627011689</v>
      </c>
      <c r="G59" s="84">
        <f t="shared" si="4"/>
        <v>4.8750000000000071E-2</v>
      </c>
      <c r="H59" s="31"/>
      <c r="I59" s="33"/>
    </row>
    <row r="60" spans="1:16" x14ac:dyDescent="0.25">
      <c r="A60" s="60">
        <f t="shared" si="5"/>
        <v>22</v>
      </c>
      <c r="B60" s="78">
        <f t="shared" si="0"/>
        <v>44880</v>
      </c>
      <c r="C60" s="81">
        <f t="shared" si="6"/>
        <v>180</v>
      </c>
      <c r="D60" s="60">
        <f t="shared" si="1"/>
        <v>180</v>
      </c>
      <c r="E60" s="82">
        <f t="shared" si="2"/>
        <v>4.875</v>
      </c>
      <c r="F60" s="83">
        <f t="shared" si="3"/>
        <v>1.7941682600249522</v>
      </c>
      <c r="G60" s="84">
        <f t="shared" si="4"/>
        <v>4.8750000000000071E-2</v>
      </c>
      <c r="H60" s="31"/>
      <c r="I60" s="33"/>
    </row>
    <row r="61" spans="1:16" x14ac:dyDescent="0.25">
      <c r="A61" s="60">
        <f t="shared" si="5"/>
        <v>23</v>
      </c>
      <c r="B61" s="78">
        <f t="shared" si="0"/>
        <v>45061</v>
      </c>
      <c r="C61" s="81">
        <f t="shared" si="6"/>
        <v>180</v>
      </c>
      <c r="D61" s="60">
        <f t="shared" si="1"/>
        <v>180</v>
      </c>
      <c r="E61" s="82">
        <f t="shared" si="2"/>
        <v>4.875</v>
      </c>
      <c r="F61" s="83">
        <f t="shared" si="3"/>
        <v>1.7107683051489411</v>
      </c>
      <c r="G61" s="84">
        <f t="shared" si="4"/>
        <v>4.8750000000000071E-2</v>
      </c>
      <c r="H61" s="31"/>
      <c r="I61" s="33"/>
    </row>
    <row r="62" spans="1:16" x14ac:dyDescent="0.25">
      <c r="A62" s="60">
        <f t="shared" si="5"/>
        <v>24</v>
      </c>
      <c r="B62" s="78">
        <f t="shared" si="0"/>
        <v>45245</v>
      </c>
      <c r="C62" s="81">
        <f t="shared" si="6"/>
        <v>180</v>
      </c>
      <c r="D62" s="60">
        <f t="shared" si="1"/>
        <v>180</v>
      </c>
      <c r="E62" s="82">
        <f t="shared" si="2"/>
        <v>4.875</v>
      </c>
      <c r="F62" s="83">
        <f t="shared" si="3"/>
        <v>1.6312451062206828</v>
      </c>
      <c r="G62" s="84">
        <f t="shared" si="4"/>
        <v>4.8750000000000071E-2</v>
      </c>
      <c r="H62" s="31"/>
      <c r="I62" s="33"/>
    </row>
    <row r="63" spans="1:16" x14ac:dyDescent="0.25">
      <c r="A63" s="60">
        <f t="shared" si="5"/>
        <v>25</v>
      </c>
      <c r="B63" s="78">
        <f t="shared" si="0"/>
        <v>45427</v>
      </c>
      <c r="C63" s="81">
        <f t="shared" si="6"/>
        <v>180</v>
      </c>
      <c r="D63" s="60">
        <f t="shared" si="1"/>
        <v>180</v>
      </c>
      <c r="E63" s="82">
        <f t="shared" si="2"/>
        <v>4.875</v>
      </c>
      <c r="F63" s="83">
        <f t="shared" si="3"/>
        <v>1.5554184564678737</v>
      </c>
      <c r="G63" s="84">
        <f t="shared" si="4"/>
        <v>4.8750000000000071E-2</v>
      </c>
      <c r="H63" s="31"/>
      <c r="I63" s="33"/>
    </row>
    <row r="64" spans="1:16" x14ac:dyDescent="0.25">
      <c r="A64" s="60">
        <f t="shared" si="5"/>
        <v>26</v>
      </c>
      <c r="B64" s="78">
        <f t="shared" si="0"/>
        <v>45611</v>
      </c>
      <c r="C64" s="81">
        <f t="shared" si="6"/>
        <v>180</v>
      </c>
      <c r="D64" s="60">
        <f t="shared" si="1"/>
        <v>180</v>
      </c>
      <c r="E64" s="82">
        <f t="shared" si="2"/>
        <v>4.875</v>
      </c>
      <c r="F64" s="83">
        <f t="shared" si="3"/>
        <v>1.4831165258334911</v>
      </c>
      <c r="G64" s="84">
        <f t="shared" si="4"/>
        <v>4.8750000000000071E-2</v>
      </c>
      <c r="H64" s="31"/>
      <c r="I64" s="33"/>
    </row>
    <row r="65" spans="1:9" x14ac:dyDescent="0.25">
      <c r="A65" s="60">
        <f t="shared" si="5"/>
        <v>27</v>
      </c>
      <c r="B65" s="78">
        <f t="shared" si="0"/>
        <v>45792</v>
      </c>
      <c r="C65" s="81">
        <f t="shared" si="6"/>
        <v>180</v>
      </c>
      <c r="D65" s="60">
        <f t="shared" si="1"/>
        <v>180</v>
      </c>
      <c r="E65" s="82">
        <f t="shared" si="2"/>
        <v>4.875</v>
      </c>
      <c r="F65" s="83">
        <f t="shared" si="3"/>
        <v>1.4141754715933166</v>
      </c>
      <c r="G65" s="84">
        <f t="shared" si="4"/>
        <v>4.8750000000000071E-2</v>
      </c>
      <c r="H65" s="31"/>
      <c r="I65" s="33"/>
    </row>
    <row r="66" spans="1:9" x14ac:dyDescent="0.25">
      <c r="A66" s="60">
        <f t="shared" si="5"/>
        <v>28</v>
      </c>
      <c r="B66" s="78">
        <f t="shared" si="0"/>
        <v>45976</v>
      </c>
      <c r="C66" s="81">
        <f t="shared" si="6"/>
        <v>180</v>
      </c>
      <c r="D66" s="60">
        <f t="shared" si="1"/>
        <v>180</v>
      </c>
      <c r="E66" s="82">
        <f t="shared" si="2"/>
        <v>4.875</v>
      </c>
      <c r="F66" s="83">
        <f t="shared" si="3"/>
        <v>1.348439067073484</v>
      </c>
      <c r="G66" s="84">
        <f t="shared" si="4"/>
        <v>4.8750000000000071E-2</v>
      </c>
      <c r="H66" s="31"/>
    </row>
    <row r="67" spans="1:9" x14ac:dyDescent="0.25">
      <c r="A67" s="60">
        <f t="shared" si="5"/>
        <v>29</v>
      </c>
      <c r="B67" s="78">
        <f t="shared" si="0"/>
        <v>46157</v>
      </c>
      <c r="C67" s="81">
        <f t="shared" si="6"/>
        <v>180</v>
      </c>
      <c r="D67" s="60">
        <f t="shared" si="1"/>
        <v>180</v>
      </c>
      <c r="E67" s="82">
        <f t="shared" si="2"/>
        <v>4.875</v>
      </c>
      <c r="F67" s="83">
        <f t="shared" si="3"/>
        <v>1.2857583476266832</v>
      </c>
      <c r="G67" s="84">
        <f t="shared" si="4"/>
        <v>4.8750000000000071E-2</v>
      </c>
      <c r="H67" s="31"/>
    </row>
    <row r="68" spans="1:9" x14ac:dyDescent="0.25">
      <c r="A68" s="60">
        <f t="shared" si="5"/>
        <v>30</v>
      </c>
      <c r="B68" s="78">
        <f t="shared" si="0"/>
        <v>46341</v>
      </c>
      <c r="C68" s="81">
        <f t="shared" si="6"/>
        <v>180</v>
      </c>
      <c r="D68" s="60">
        <f t="shared" si="1"/>
        <v>180</v>
      </c>
      <c r="E68" s="82">
        <f t="shared" si="2"/>
        <v>4.875</v>
      </c>
      <c r="F68" s="83">
        <f t="shared" si="3"/>
        <v>1.2259912730647753</v>
      </c>
      <c r="G68" s="84">
        <f t="shared" si="4"/>
        <v>4.8750000000000071E-2</v>
      </c>
      <c r="H68" s="31"/>
    </row>
    <row r="69" spans="1:9" x14ac:dyDescent="0.25">
      <c r="A69" s="60">
        <f t="shared" si="5"/>
        <v>31</v>
      </c>
      <c r="B69" s="78">
        <f t="shared" si="0"/>
        <v>46522</v>
      </c>
      <c r="C69" s="81">
        <f t="shared" si="6"/>
        <v>180</v>
      </c>
      <c r="D69" s="60">
        <f t="shared" si="1"/>
        <v>180</v>
      </c>
      <c r="E69" s="82">
        <f t="shared" si="2"/>
        <v>4.875</v>
      </c>
      <c r="F69" s="83">
        <f t="shared" si="3"/>
        <v>1.1690024057828607</v>
      </c>
      <c r="G69" s="84">
        <f t="shared" si="4"/>
        <v>4.8750000000000071E-2</v>
      </c>
      <c r="H69" s="31"/>
    </row>
    <row r="70" spans="1:9" x14ac:dyDescent="0.25">
      <c r="A70" s="60">
        <f t="shared" si="5"/>
        <v>32</v>
      </c>
      <c r="B70" s="78">
        <f t="shared" si="0"/>
        <v>46706</v>
      </c>
      <c r="C70" s="81">
        <f t="shared" si="6"/>
        <v>180</v>
      </c>
      <c r="D70" s="60">
        <f t="shared" si="1"/>
        <v>180</v>
      </c>
      <c r="E70" s="82">
        <f t="shared" si="2"/>
        <v>104.875</v>
      </c>
      <c r="F70" s="83">
        <f t="shared" si="3"/>
        <v>23.979536528879191</v>
      </c>
      <c r="G70" s="84">
        <f t="shared" si="4"/>
        <v>4.8750000000000071E-2</v>
      </c>
      <c r="H70" s="31"/>
    </row>
    <row r="71" spans="1:9" x14ac:dyDescent="0.25">
      <c r="A71" s="60" t="str">
        <f t="shared" si="5"/>
        <v/>
      </c>
      <c r="B71" s="78" t="str">
        <f t="shared" ref="B71:B89" si="7">IFERROR(IF($F$18-1&gt;0,COUPNCD(B70,$F$8,$F$14,$F$12),""),"")</f>
        <v/>
      </c>
      <c r="C71" s="81" t="str">
        <f t="shared" si="6"/>
        <v/>
      </c>
      <c r="D71" s="60" t="str">
        <f t="shared" ref="D71:D89" si="8">IFERROR(IF($F$18-1&gt;0,COUPDAYS(B70,B71,$F$14,$F$12),""),"")</f>
        <v/>
      </c>
      <c r="E71" s="82" t="str">
        <f t="shared" ref="E71:E89" si="9">IFERROR(IF(A71&lt;$F$18,$F$13*($F$10/$F$14)*(C71/D71),IF(A71=$F$18,$F$13*($F$10/$F$14)*(C71/D71)+$F$13,"")),"")</f>
        <v/>
      </c>
      <c r="F71" s="83" t="str">
        <f t="shared" ref="F71:F89" si="10">IFERROR(IF(A71=1,E71,IF(A71&lt;=$F$18,(E71/((1+G71)^(A71-1))),"")),"")</f>
        <v/>
      </c>
      <c r="G71" s="84" t="str">
        <f t="shared" si="4"/>
        <v/>
      </c>
      <c r="H71" s="31"/>
    </row>
    <row r="72" spans="1:9" x14ac:dyDescent="0.25">
      <c r="A72" s="60" t="str">
        <f t="shared" ref="A72:A89" si="11">IFERROR(IF(A71+1&lt;=$F$18,A71+1,""),"")</f>
        <v/>
      </c>
      <c r="B72" s="78" t="str">
        <f t="shared" si="7"/>
        <v/>
      </c>
      <c r="C72" s="81" t="str">
        <f t="shared" ref="C72:C89" si="12">IFERROR(IF($F$18-1&gt;0,COUPDAYSNC(B71,$F$8,$F$14,$F$12),""),"")</f>
        <v/>
      </c>
      <c r="D72" s="60" t="str">
        <f t="shared" si="8"/>
        <v/>
      </c>
      <c r="E72" s="82" t="str">
        <f t="shared" si="9"/>
        <v/>
      </c>
      <c r="F72" s="83" t="str">
        <f t="shared" si="10"/>
        <v/>
      </c>
      <c r="G72" s="84" t="str">
        <f t="shared" si="4"/>
        <v/>
      </c>
      <c r="H72" s="31"/>
    </row>
    <row r="73" spans="1:9" x14ac:dyDescent="0.25">
      <c r="A73" s="60" t="str">
        <f t="shared" si="11"/>
        <v/>
      </c>
      <c r="B73" s="78" t="str">
        <f t="shared" si="7"/>
        <v/>
      </c>
      <c r="C73" s="81" t="str">
        <f t="shared" si="12"/>
        <v/>
      </c>
      <c r="D73" s="60" t="str">
        <f t="shared" si="8"/>
        <v/>
      </c>
      <c r="E73" s="82" t="str">
        <f t="shared" si="9"/>
        <v/>
      </c>
      <c r="F73" s="83" t="str">
        <f t="shared" si="10"/>
        <v/>
      </c>
      <c r="G73" s="84" t="str">
        <f t="shared" si="4"/>
        <v/>
      </c>
      <c r="H73" s="31"/>
    </row>
    <row r="74" spans="1:9" x14ac:dyDescent="0.25">
      <c r="A74" s="60" t="str">
        <f t="shared" si="11"/>
        <v/>
      </c>
      <c r="B74" s="78" t="str">
        <f t="shared" si="7"/>
        <v/>
      </c>
      <c r="C74" s="81" t="str">
        <f t="shared" si="12"/>
        <v/>
      </c>
      <c r="D74" s="60" t="str">
        <f t="shared" si="8"/>
        <v/>
      </c>
      <c r="E74" s="82" t="str">
        <f t="shared" si="9"/>
        <v/>
      </c>
      <c r="F74" s="83" t="str">
        <f t="shared" si="10"/>
        <v/>
      </c>
      <c r="G74" s="84" t="str">
        <f t="shared" si="4"/>
        <v/>
      </c>
      <c r="H74" s="31"/>
    </row>
    <row r="75" spans="1:9" x14ac:dyDescent="0.25">
      <c r="A75" s="60" t="str">
        <f t="shared" si="11"/>
        <v/>
      </c>
      <c r="B75" s="78" t="str">
        <f t="shared" si="7"/>
        <v/>
      </c>
      <c r="C75" s="81" t="str">
        <f t="shared" si="12"/>
        <v/>
      </c>
      <c r="D75" s="60" t="str">
        <f t="shared" si="8"/>
        <v/>
      </c>
      <c r="E75" s="82" t="str">
        <f t="shared" si="9"/>
        <v/>
      </c>
      <c r="F75" s="83" t="str">
        <f t="shared" si="10"/>
        <v/>
      </c>
      <c r="G75" s="84" t="str">
        <f t="shared" si="4"/>
        <v/>
      </c>
      <c r="H75" s="31"/>
    </row>
    <row r="76" spans="1:9" x14ac:dyDescent="0.25">
      <c r="A76" s="60" t="str">
        <f t="shared" si="11"/>
        <v/>
      </c>
      <c r="B76" s="78" t="str">
        <f t="shared" si="7"/>
        <v/>
      </c>
      <c r="C76" s="81" t="str">
        <f t="shared" si="12"/>
        <v/>
      </c>
      <c r="D76" s="60" t="str">
        <f t="shared" si="8"/>
        <v/>
      </c>
      <c r="E76" s="82" t="str">
        <f t="shared" si="9"/>
        <v/>
      </c>
      <c r="F76" s="83" t="str">
        <f t="shared" si="10"/>
        <v/>
      </c>
      <c r="G76" s="84" t="str">
        <f t="shared" si="4"/>
        <v/>
      </c>
      <c r="H76" s="31"/>
    </row>
    <row r="77" spans="1:9" x14ac:dyDescent="0.25">
      <c r="A77" s="60" t="str">
        <f t="shared" si="11"/>
        <v/>
      </c>
      <c r="B77" s="78" t="str">
        <f t="shared" si="7"/>
        <v/>
      </c>
      <c r="C77" s="81" t="str">
        <f t="shared" si="12"/>
        <v/>
      </c>
      <c r="D77" s="60" t="str">
        <f t="shared" si="8"/>
        <v/>
      </c>
      <c r="E77" s="82" t="str">
        <f t="shared" si="9"/>
        <v/>
      </c>
      <c r="F77" s="83" t="str">
        <f t="shared" si="10"/>
        <v/>
      </c>
      <c r="G77" s="84" t="str">
        <f t="shared" si="4"/>
        <v/>
      </c>
      <c r="H77" s="31"/>
    </row>
    <row r="78" spans="1:9" x14ac:dyDescent="0.25">
      <c r="A78" s="60" t="str">
        <f t="shared" si="11"/>
        <v/>
      </c>
      <c r="B78" s="78" t="str">
        <f t="shared" si="7"/>
        <v/>
      </c>
      <c r="C78" s="81" t="str">
        <f t="shared" si="12"/>
        <v/>
      </c>
      <c r="D78" s="60" t="str">
        <f t="shared" si="8"/>
        <v/>
      </c>
      <c r="E78" s="82" t="str">
        <f t="shared" si="9"/>
        <v/>
      </c>
      <c r="F78" s="83" t="str">
        <f t="shared" si="10"/>
        <v/>
      </c>
      <c r="G78" s="84" t="str">
        <f t="shared" si="4"/>
        <v/>
      </c>
      <c r="H78" s="31"/>
    </row>
    <row r="79" spans="1:9" x14ac:dyDescent="0.25">
      <c r="A79" s="60" t="str">
        <f t="shared" si="11"/>
        <v/>
      </c>
      <c r="B79" s="78" t="str">
        <f t="shared" si="7"/>
        <v/>
      </c>
      <c r="C79" s="81" t="str">
        <f t="shared" si="12"/>
        <v/>
      </c>
      <c r="D79" s="60" t="str">
        <f t="shared" si="8"/>
        <v/>
      </c>
      <c r="E79" s="82" t="str">
        <f t="shared" si="9"/>
        <v/>
      </c>
      <c r="F79" s="83" t="str">
        <f t="shared" si="10"/>
        <v/>
      </c>
      <c r="G79" s="84" t="str">
        <f t="shared" si="4"/>
        <v/>
      </c>
      <c r="H79" s="31"/>
    </row>
    <row r="80" spans="1:9" x14ac:dyDescent="0.25">
      <c r="A80" s="60" t="str">
        <f t="shared" si="11"/>
        <v/>
      </c>
      <c r="B80" s="78" t="str">
        <f t="shared" si="7"/>
        <v/>
      </c>
      <c r="C80" s="81" t="str">
        <f t="shared" si="12"/>
        <v/>
      </c>
      <c r="D80" s="60" t="str">
        <f t="shared" si="8"/>
        <v/>
      </c>
      <c r="E80" s="82" t="str">
        <f t="shared" si="9"/>
        <v/>
      </c>
      <c r="F80" s="83" t="str">
        <f t="shared" si="10"/>
        <v/>
      </c>
      <c r="G80" s="84" t="str">
        <f t="shared" si="4"/>
        <v/>
      </c>
      <c r="H80" s="31"/>
    </row>
    <row r="81" spans="1:9" x14ac:dyDescent="0.25">
      <c r="A81" s="60" t="str">
        <f t="shared" si="11"/>
        <v/>
      </c>
      <c r="B81" s="78" t="str">
        <f t="shared" si="7"/>
        <v/>
      </c>
      <c r="C81" s="81" t="str">
        <f t="shared" si="12"/>
        <v/>
      </c>
      <c r="D81" s="60" t="str">
        <f t="shared" si="8"/>
        <v/>
      </c>
      <c r="E81" s="82" t="str">
        <f t="shared" si="9"/>
        <v/>
      </c>
      <c r="F81" s="83" t="str">
        <f t="shared" si="10"/>
        <v/>
      </c>
      <c r="G81" s="84" t="str">
        <f t="shared" si="4"/>
        <v/>
      </c>
      <c r="H81" s="31"/>
    </row>
    <row r="82" spans="1:9" x14ac:dyDescent="0.25">
      <c r="A82" s="60" t="str">
        <f t="shared" si="11"/>
        <v/>
      </c>
      <c r="B82" s="78" t="str">
        <f t="shared" si="7"/>
        <v/>
      </c>
      <c r="C82" s="81" t="str">
        <f t="shared" si="12"/>
        <v/>
      </c>
      <c r="D82" s="60" t="str">
        <f t="shared" si="8"/>
        <v/>
      </c>
      <c r="E82" s="82" t="str">
        <f t="shared" si="9"/>
        <v/>
      </c>
      <c r="F82" s="83" t="str">
        <f t="shared" si="10"/>
        <v/>
      </c>
      <c r="G82" s="84" t="str">
        <f t="shared" si="4"/>
        <v/>
      </c>
      <c r="H82" s="31"/>
    </row>
    <row r="83" spans="1:9" x14ac:dyDescent="0.25">
      <c r="A83" s="60" t="str">
        <f t="shared" si="11"/>
        <v/>
      </c>
      <c r="B83" s="78" t="str">
        <f t="shared" si="7"/>
        <v/>
      </c>
      <c r="C83" s="81" t="str">
        <f t="shared" si="12"/>
        <v/>
      </c>
      <c r="D83" s="60" t="str">
        <f t="shared" si="8"/>
        <v/>
      </c>
      <c r="E83" s="82" t="str">
        <f t="shared" si="9"/>
        <v/>
      </c>
      <c r="F83" s="83" t="str">
        <f t="shared" si="10"/>
        <v/>
      </c>
      <c r="G83" s="84" t="str">
        <f t="shared" si="4"/>
        <v/>
      </c>
      <c r="H83" s="31"/>
    </row>
    <row r="84" spans="1:9" x14ac:dyDescent="0.25">
      <c r="A84" s="60" t="str">
        <f t="shared" si="11"/>
        <v/>
      </c>
      <c r="B84" s="78" t="str">
        <f t="shared" si="7"/>
        <v/>
      </c>
      <c r="C84" s="81" t="str">
        <f t="shared" si="12"/>
        <v/>
      </c>
      <c r="D84" s="60" t="str">
        <f t="shared" si="8"/>
        <v/>
      </c>
      <c r="E84" s="82" t="str">
        <f t="shared" si="9"/>
        <v/>
      </c>
      <c r="F84" s="83" t="str">
        <f t="shared" si="10"/>
        <v/>
      </c>
      <c r="G84" s="84" t="str">
        <f t="shared" si="4"/>
        <v/>
      </c>
      <c r="H84" s="31"/>
    </row>
    <row r="85" spans="1:9" x14ac:dyDescent="0.25">
      <c r="A85" s="60" t="str">
        <f t="shared" si="11"/>
        <v/>
      </c>
      <c r="B85" s="78" t="str">
        <f t="shared" si="7"/>
        <v/>
      </c>
      <c r="C85" s="81" t="str">
        <f t="shared" si="12"/>
        <v/>
      </c>
      <c r="D85" s="60" t="str">
        <f t="shared" si="8"/>
        <v/>
      </c>
      <c r="E85" s="82" t="str">
        <f t="shared" si="9"/>
        <v/>
      </c>
      <c r="F85" s="83" t="str">
        <f t="shared" si="10"/>
        <v/>
      </c>
      <c r="G85" s="84" t="str">
        <f t="shared" ref="G85:G89" si="13">IFERROR(IF(A85&lt;=$F$18,(1+($F$23/(D85/C85)))^(D85/C85)-1,""),"")</f>
        <v/>
      </c>
      <c r="H85" s="31"/>
    </row>
    <row r="86" spans="1:9" x14ac:dyDescent="0.25">
      <c r="A86" s="60" t="str">
        <f t="shared" si="11"/>
        <v/>
      </c>
      <c r="B86" s="78" t="str">
        <f t="shared" si="7"/>
        <v/>
      </c>
      <c r="C86" s="81" t="str">
        <f t="shared" si="12"/>
        <v/>
      </c>
      <c r="D86" s="60" t="str">
        <f t="shared" si="8"/>
        <v/>
      </c>
      <c r="E86" s="82" t="str">
        <f t="shared" si="9"/>
        <v/>
      </c>
      <c r="F86" s="83" t="str">
        <f t="shared" si="10"/>
        <v/>
      </c>
      <c r="G86" s="84" t="str">
        <f t="shared" si="13"/>
        <v/>
      </c>
      <c r="H86" s="31"/>
    </row>
    <row r="87" spans="1:9" x14ac:dyDescent="0.25">
      <c r="A87" s="60" t="str">
        <f t="shared" si="11"/>
        <v/>
      </c>
      <c r="B87" s="78" t="str">
        <f t="shared" si="7"/>
        <v/>
      </c>
      <c r="C87" s="81" t="str">
        <f t="shared" si="12"/>
        <v/>
      </c>
      <c r="D87" s="60" t="str">
        <f t="shared" si="8"/>
        <v/>
      </c>
      <c r="E87" s="82" t="str">
        <f t="shared" si="9"/>
        <v/>
      </c>
      <c r="F87" s="83" t="str">
        <f t="shared" si="10"/>
        <v/>
      </c>
      <c r="G87" s="84" t="str">
        <f t="shared" si="13"/>
        <v/>
      </c>
      <c r="H87" s="31"/>
    </row>
    <row r="88" spans="1:9" x14ac:dyDescent="0.25">
      <c r="A88" s="60" t="str">
        <f t="shared" si="11"/>
        <v/>
      </c>
      <c r="B88" s="78" t="str">
        <f t="shared" si="7"/>
        <v/>
      </c>
      <c r="C88" s="81" t="str">
        <f t="shared" si="12"/>
        <v/>
      </c>
      <c r="D88" s="60" t="str">
        <f t="shared" si="8"/>
        <v/>
      </c>
      <c r="E88" s="82" t="str">
        <f t="shared" si="9"/>
        <v/>
      </c>
      <c r="F88" s="83" t="str">
        <f t="shared" si="10"/>
        <v/>
      </c>
      <c r="G88" s="84" t="str">
        <f t="shared" si="13"/>
        <v/>
      </c>
      <c r="H88" s="31"/>
    </row>
    <row r="89" spans="1:9" x14ac:dyDescent="0.25">
      <c r="A89" s="60" t="str">
        <f t="shared" si="11"/>
        <v/>
      </c>
      <c r="B89" s="78" t="str">
        <f t="shared" si="7"/>
        <v/>
      </c>
      <c r="C89" s="81" t="str">
        <f t="shared" si="12"/>
        <v/>
      </c>
      <c r="D89" s="60" t="str">
        <f t="shared" si="8"/>
        <v/>
      </c>
      <c r="E89" s="82" t="str">
        <f t="shared" si="9"/>
        <v/>
      </c>
      <c r="F89" s="83" t="str">
        <f t="shared" si="10"/>
        <v/>
      </c>
      <c r="G89" s="84" t="str">
        <f t="shared" si="13"/>
        <v/>
      </c>
      <c r="H89" s="31"/>
      <c r="I89" s="23"/>
    </row>
    <row r="90" spans="1:9" x14ac:dyDescent="0.25">
      <c r="H90" s="31"/>
    </row>
  </sheetData>
  <sheetProtection password="FBF4" sheet="1" objects="1" scenarios="1"/>
  <protectedRanges>
    <protectedRange password="E434" sqref="F7:F13" name="Rango1"/>
  </protectedRanges>
  <mergeCells count="8">
    <mergeCell ref="A9:E9"/>
    <mergeCell ref="A10:E10"/>
    <mergeCell ref="A11:E11"/>
    <mergeCell ref="E27:F27"/>
    <mergeCell ref="S8:S9"/>
    <mergeCell ref="Q9:Q10"/>
    <mergeCell ref="C2:G2"/>
    <mergeCell ref="A35:F35"/>
  </mergeCells>
  <dataValidations count="2">
    <dataValidation type="whole" showErrorMessage="1" errorTitle="ERROR" error="Debe ingresar 0 para 30/360 ó 1 para Actual/Actual" sqref="F12">
      <formula1>0</formula1>
      <formula2>1</formula2>
    </dataValidation>
    <dataValidation type="date" operator="greaterThan" allowBlank="1" showInputMessage="1" showErrorMessage="1" errorTitle="Fecha invalida" error="La fecha no pago no puede ser menor a la fecha de liquidación" promptTitle="Fecha de pago" prompt="Ingrese fecha de pago según lo indicado en la convocatoria" sqref="F8">
      <formula1>F7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4" scale="88" orientation="portrait" horizontalDpi="1200" verticalDpi="1200" r:id="rId1"/>
  <headerFooter>
    <oddHeader>&amp;L&amp;8&amp;D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Bono_Cupón_Irregular</vt:lpstr>
      <vt:lpstr>Bono_Cupón_Irregular!Área_de_impresión</vt:lpstr>
      <vt:lpstr>Bono_Cupón_Irregular!CeldasBlock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Efrain Santizo Reyes</dc:creator>
  <cp:lastModifiedBy>Carlos Efrain Santizo Reyes</cp:lastModifiedBy>
  <cp:lastPrinted>2012-01-24T19:42:33Z</cp:lastPrinted>
  <dcterms:created xsi:type="dcterms:W3CDTF">2011-11-18T17:20:11Z</dcterms:created>
  <dcterms:modified xsi:type="dcterms:W3CDTF">2012-01-24T21:59:30Z</dcterms:modified>
</cp:coreProperties>
</file>