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9420" windowHeight="11910" activeTab="0"/>
  </bookViews>
  <sheets>
    <sheet name="doc307" sheetId="1" r:id="rId1"/>
  </sheets>
  <definedNames>
    <definedName name="_xlnm.Print_Area" localSheetId="0">'doc307'!$B$3:$AT$46,'doc307'!$B$48:$AT$90,'doc307'!$B$92:$AT$134,'doc307'!$B$136:$AT$178,'doc307'!$B$180:$AT$224</definedName>
  </definedNames>
  <calcPr fullCalcOnLoad="1"/>
</workbook>
</file>

<file path=xl/sharedStrings.xml><?xml version="1.0" encoding="utf-8"?>
<sst xmlns="http://schemas.openxmlformats.org/spreadsheetml/2006/main" count="382" uniqueCount="40">
  <si>
    <t>RECAUDACION DEL IMPUESTO SOBRE LA RENTA</t>
  </si>
  <si>
    <t>(Millones de Quetzales )</t>
  </si>
  <si>
    <t>MES</t>
  </si>
  <si>
    <t>TOTAL</t>
  </si>
  <si>
    <t>Fuente: SICOIN</t>
  </si>
  <si>
    <t>Nota: Pueden existir diferencias por redondeo</t>
  </si>
  <si>
    <t>RECAUDACION DEL IMPUESTO A EMPRESAS MERCANTILES Y AGROPECUARIAS</t>
  </si>
  <si>
    <t>RECAUDACION DE IMPUESTOS SOBRE EL PATRIMONIO</t>
  </si>
  <si>
    <t>IMPUESTO DE SOLIDARIDAD EXTRAORDINARIO Y TEMPORAL</t>
  </si>
  <si>
    <t>IMPUESTO EXTRAORDINARIO Y TEMPORAL DE APOYO A LOS ACUERDOS DE PAZ</t>
  </si>
  <si>
    <t xml:space="preserve">Incluye la recaudación del IUSI y el Impuesto Sobre Herencias Legados y Donaciones </t>
  </si>
  <si>
    <t>RECAUDACION DEL IMPUESTO AL VALOR AGREGADO DOMESTICO</t>
  </si>
  <si>
    <t>RECAUDACION DEL IMPUESTO AL VALOR AGREGADO IMPORTACIONES</t>
  </si>
  <si>
    <t xml:space="preserve">DERECHOS ARANCELARIOS </t>
  </si>
  <si>
    <t>RECAUDACION DEL IMPUESTO SOBRE BEBIDAS</t>
  </si>
  <si>
    <t>IMPUESTO DE SOLIDARIDAD</t>
  </si>
  <si>
    <t>RECAUDACION DEL IMPUESTO SOBRE TABACOS Y CIGARRILLOS</t>
  </si>
  <si>
    <t>RECAUDACION DEL IMPUESTO SOBRE DISTRIBUCION DE CEMENTO</t>
  </si>
  <si>
    <t>RECAUDACION DEL IMPUESTO SOBRE DISTRIBUCION DE PETROLEO Y COMBUSTIBLES DERIVADOS DE PETROLEO</t>
  </si>
  <si>
    <t>RECAUDACION DEL IMPUESTO SOBRE CIRCULACION DE VEHICULOS</t>
  </si>
  <si>
    <t>IMPUESTO SOBRE PRIMERA MATRICULA</t>
  </si>
  <si>
    <t>RECAUDACION DEL IMPUESTO SOBRE TIMBRES FISCALES Y PAPEL SELLADO ESPECIAL PARA PROTOCOLO</t>
  </si>
  <si>
    <t>RECAUDACION DE OTROS IMPUESTOS INDIRECTOS</t>
  </si>
  <si>
    <t>RECAUDACION DEL IMPUESTO SOBRE SALIDA DEL PAIS</t>
  </si>
  <si>
    <t>RECAUDACION SOBRE REGALIAS E HIDROCARBUROS COMPARTIBLES</t>
  </si>
  <si>
    <t>IMPUESTO A PASAJES AEREOS</t>
  </si>
  <si>
    <t>Incluye la recaudación de:  el Gravamen Sobre Exportación de Madera, el Gravamen Sobre Exportación de Banano, los Impuestos Sobre Radiocomunicaciones y el Impuesto Sobre el Servicio del Cable.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</si>
  <si>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</si>
  <si>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</si>
  <si>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</si>
  <si>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</si>
  <si>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</si>
  <si>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</si>
  <si>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</si>
  <si>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</si>
  <si>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</si>
  <si>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</si>
  <si>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</si>
  <si>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</si>
  <si>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PERIODO 2003 - 2023</t>
  </si>
</sst>
</file>

<file path=xl/styles.xml><?xml version="1.0" encoding="utf-8"?>
<styleSheet xmlns="http://schemas.openxmlformats.org/spreadsheetml/2006/main">
  <numFmts count="3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#,##0.0_);\(#,##0.0\)"/>
    <numFmt numFmtId="181" formatCode="mmmm"/>
    <numFmt numFmtId="182" formatCode="mmmm\ d\,\ yyyy"/>
    <numFmt numFmtId="183" formatCode="_(* #,##0.0_);_(* \(#,##0.0\);_(* &quot;-&quot;??_);_(@_)"/>
    <numFmt numFmtId="184" formatCode="#,##0.000_);\(#,##0.000\)"/>
    <numFmt numFmtId="185" formatCode="#,##0.0"/>
    <numFmt numFmtId="186" formatCode="#,##0.00000000"/>
    <numFmt numFmtId="187" formatCode="#,##0.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62"/>
      <name val="Times New Roman"/>
      <family val="1"/>
    </font>
    <font>
      <sz val="10"/>
      <color indexed="62"/>
      <name val="Times New Roman"/>
      <family val="1"/>
    </font>
    <font>
      <b/>
      <sz val="14"/>
      <color indexed="8"/>
      <name val="Times New Roman"/>
      <family val="1"/>
    </font>
    <font>
      <sz val="9"/>
      <color indexed="62"/>
      <name val="Times New Roman"/>
      <family val="1"/>
    </font>
    <font>
      <sz val="8"/>
      <color indexed="62"/>
      <name val="Times New Roman"/>
      <family val="1"/>
    </font>
    <font>
      <i/>
      <sz val="8"/>
      <color indexed="8"/>
      <name val="Times New Roman"/>
      <family val="1"/>
    </font>
    <font>
      <i/>
      <sz val="8"/>
      <color indexed="62"/>
      <name val="Times New Roman"/>
      <family val="1"/>
    </font>
    <font>
      <i/>
      <sz val="7"/>
      <color indexed="62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Times New Roman"/>
      <family val="1"/>
    </font>
    <font>
      <b/>
      <i/>
      <u val="singleAccounting"/>
      <sz val="8"/>
      <color indexed="12"/>
      <name val="Times New Roman"/>
      <family val="1"/>
    </font>
    <font>
      <b/>
      <i/>
      <u val="single"/>
      <sz val="9"/>
      <color indexed="12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Times New Roman"/>
      <family val="1"/>
    </font>
    <font>
      <b/>
      <i/>
      <u val="singleAccounting"/>
      <sz val="8"/>
      <color rgb="FF0000FF"/>
      <name val="Times New Roman"/>
      <family val="1"/>
    </font>
    <font>
      <b/>
      <i/>
      <u val="single"/>
      <sz val="9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80" fontId="4" fillId="33" borderId="0" xfId="47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9" fontId="4" fillId="0" borderId="0" xfId="47" applyFont="1" applyFill="1" applyBorder="1" applyAlignment="1">
      <alignment horizontal="right"/>
    </xf>
    <xf numFmtId="179" fontId="4" fillId="33" borderId="0" xfId="47" applyFont="1" applyFill="1" applyBorder="1" applyAlignment="1">
      <alignment horizontal="right"/>
    </xf>
    <xf numFmtId="179" fontId="3" fillId="0" borderId="0" xfId="47" applyFont="1" applyFill="1" applyBorder="1" applyAlignment="1">
      <alignment horizontal="right" vertical="center"/>
    </xf>
    <xf numFmtId="179" fontId="3" fillId="33" borderId="0" xfId="47" applyFont="1" applyFill="1" applyBorder="1" applyAlignment="1">
      <alignment horizontal="right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/>
      <protection/>
    </xf>
    <xf numFmtId="179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 applyProtection="1">
      <alignment/>
      <protection/>
    </xf>
    <xf numFmtId="182" fontId="9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54" fillId="34" borderId="10" xfId="0" applyFont="1" applyFill="1" applyBorder="1" applyAlignment="1">
      <alignment horizontal="left" vertical="center" indent="1"/>
    </xf>
    <xf numFmtId="0" fontId="54" fillId="34" borderId="11" xfId="0" applyFont="1" applyFill="1" applyBorder="1" applyAlignment="1">
      <alignment horizontal="center" vertical="center"/>
    </xf>
    <xf numFmtId="181" fontId="3" fillId="35" borderId="10" xfId="0" applyNumberFormat="1" applyFont="1" applyFill="1" applyBorder="1" applyAlignment="1">
      <alignment horizontal="left" vertical="center" indent="1"/>
    </xf>
    <xf numFmtId="180" fontId="3" fillId="35" borderId="11" xfId="47" applyNumberFormat="1" applyFont="1" applyFill="1" applyBorder="1" applyAlignment="1">
      <alignment horizontal="right" vertical="center"/>
    </xf>
    <xf numFmtId="0" fontId="13" fillId="36" borderId="12" xfId="0" applyNumberFormat="1" applyFont="1" applyFill="1" applyBorder="1" applyAlignment="1">
      <alignment horizontal="left" indent="1"/>
    </xf>
    <xf numFmtId="0" fontId="55" fillId="0" borderId="0" xfId="0" applyNumberFormat="1" applyFont="1" applyFill="1" applyBorder="1" applyAlignment="1" applyProtection="1">
      <alignment/>
      <protection/>
    </xf>
    <xf numFmtId="180" fontId="4" fillId="0" borderId="0" xfId="47" applyNumberFormat="1" applyFont="1" applyFill="1" applyBorder="1" applyAlignment="1">
      <alignment horizontal="right"/>
    </xf>
    <xf numFmtId="0" fontId="13" fillId="36" borderId="13" xfId="0" applyNumberFormat="1" applyFont="1" applyFill="1" applyBorder="1" applyAlignment="1">
      <alignment horizontal="left" indent="1"/>
    </xf>
    <xf numFmtId="0" fontId="54" fillId="34" borderId="14" xfId="0" applyFont="1" applyFill="1" applyBorder="1" applyAlignment="1">
      <alignment horizontal="center" vertical="center"/>
    </xf>
    <xf numFmtId="180" fontId="4" fillId="33" borderId="13" xfId="47" applyNumberFormat="1" applyFont="1" applyFill="1" applyBorder="1" applyAlignment="1">
      <alignment horizontal="right"/>
    </xf>
    <xf numFmtId="180" fontId="3" fillId="35" borderId="14" xfId="47" applyNumberFormat="1" applyFont="1" applyFill="1" applyBorder="1" applyAlignment="1">
      <alignment horizontal="right" vertical="center"/>
    </xf>
    <xf numFmtId="181" fontId="13" fillId="35" borderId="14" xfId="0" applyNumberFormat="1" applyFont="1" applyFill="1" applyBorder="1" applyAlignment="1">
      <alignment horizontal="left" vertical="center" indent="1"/>
    </xf>
    <xf numFmtId="0" fontId="3" fillId="35" borderId="13" xfId="0" applyFont="1" applyFill="1" applyBorder="1" applyAlignment="1">
      <alignment horizontal="left" vertical="center" indent="1"/>
    </xf>
    <xf numFmtId="0" fontId="3" fillId="35" borderId="12" xfId="0" applyFont="1" applyFill="1" applyBorder="1" applyAlignment="1">
      <alignment horizontal="left" vertical="center" indent="1"/>
    </xf>
    <xf numFmtId="0" fontId="3" fillId="35" borderId="13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54" fillId="34" borderId="16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180" fontId="4" fillId="33" borderId="15" xfId="47" applyNumberFormat="1" applyFont="1" applyFill="1" applyBorder="1" applyAlignment="1">
      <alignment horizontal="right"/>
    </xf>
    <xf numFmtId="180" fontId="3" fillId="35" borderId="16" xfId="47" applyNumberFormat="1" applyFont="1" applyFill="1" applyBorder="1" applyAlignment="1">
      <alignment horizontal="right" vertical="center"/>
    </xf>
    <xf numFmtId="180" fontId="4" fillId="0" borderId="15" xfId="47" applyNumberFormat="1" applyFont="1" applyFill="1" applyBorder="1" applyAlignment="1">
      <alignment horizontal="right"/>
    </xf>
    <xf numFmtId="180" fontId="4" fillId="0" borderId="13" xfId="47" applyNumberFormat="1" applyFont="1" applyFill="1" applyBorder="1" applyAlignment="1">
      <alignment horizontal="right"/>
    </xf>
    <xf numFmtId="183" fontId="14" fillId="0" borderId="0" xfId="47" applyNumberFormat="1" applyFont="1" applyFill="1" applyBorder="1" applyAlignment="1">
      <alignment horizontal="right"/>
    </xf>
    <xf numFmtId="183" fontId="14" fillId="0" borderId="15" xfId="47" applyNumberFormat="1" applyFont="1" applyFill="1" applyBorder="1" applyAlignment="1">
      <alignment horizontal="right"/>
    </xf>
    <xf numFmtId="0" fontId="3" fillId="35" borderId="17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/>
      <protection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180" fontId="4" fillId="0" borderId="20" xfId="47" applyNumberFormat="1" applyFont="1" applyFill="1" applyBorder="1" applyAlignment="1">
      <alignment horizontal="right"/>
    </xf>
    <xf numFmtId="180" fontId="4" fillId="0" borderId="21" xfId="47" applyNumberFormat="1" applyFont="1" applyFill="1" applyBorder="1" applyAlignment="1">
      <alignment horizontal="right"/>
    </xf>
    <xf numFmtId="180" fontId="4" fillId="33" borderId="22" xfId="47" applyNumberFormat="1" applyFont="1" applyFill="1" applyBorder="1" applyAlignment="1">
      <alignment horizontal="right"/>
    </xf>
    <xf numFmtId="180" fontId="4" fillId="33" borderId="21" xfId="47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0" fontId="5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Alignment="1">
      <alignment horizontal="center" vertical="center" wrapText="1"/>
    </xf>
    <xf numFmtId="180" fontId="37" fillId="0" borderId="0" xfId="47" applyNumberFormat="1" applyFont="1" applyFill="1" applyBorder="1" applyAlignment="1">
      <alignment horizontal="right"/>
    </xf>
    <xf numFmtId="180" fontId="13" fillId="35" borderId="11" xfId="47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H224"/>
  <sheetViews>
    <sheetView showGridLines="0" tabSelected="1" zoomScale="115" zoomScaleNormal="115" zoomScalePageLayoutView="0" workbookViewId="0" topLeftCell="A1">
      <selection activeCell="C14" sqref="C14"/>
    </sheetView>
  </sheetViews>
  <sheetFormatPr defaultColWidth="0" defaultRowHeight="15" zeroHeight="1"/>
  <cols>
    <col min="1" max="1" width="2.7109375" style="0" customWidth="1"/>
    <col min="2" max="2" width="12.421875" style="0" customWidth="1"/>
    <col min="3" max="10" width="6.7109375" style="0" bestFit="1" customWidth="1"/>
    <col min="11" max="15" width="7.57421875" style="0" bestFit="1" customWidth="1"/>
    <col min="16" max="23" width="7.421875" style="0" customWidth="1"/>
    <col min="24" max="24" width="3.7109375" style="0" customWidth="1"/>
    <col min="25" max="25" width="11.7109375" style="0" customWidth="1"/>
    <col min="26" max="26" width="6.7109375" style="0" bestFit="1" customWidth="1"/>
    <col min="27" max="27" width="7.8515625" style="0" bestFit="1" customWidth="1"/>
    <col min="28" max="30" width="6.7109375" style="0" bestFit="1" customWidth="1"/>
    <col min="31" max="31" width="7.57421875" style="0" bestFit="1" customWidth="1"/>
    <col min="32" max="32" width="6.7109375" style="0" bestFit="1" customWidth="1"/>
    <col min="33" max="39" width="7.57421875" style="0" bestFit="1" customWidth="1"/>
    <col min="40" max="46" width="7.57421875" style="0" customWidth="1"/>
    <col min="47" max="47" width="4.140625" style="0" customWidth="1"/>
    <col min="48" max="85" width="11.421875" style="0" hidden="1" customWidth="1"/>
    <col min="86" max="16384" width="11.421875" style="0" hidden="1" customWidth="1"/>
  </cols>
  <sheetData>
    <row r="1" ht="15"/>
    <row r="2" ht="15"/>
    <row r="3" spans="2:85" ht="15.75" customHeight="1">
      <c r="B3" s="75" t="s">
        <v>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9"/>
      <c r="Y3" s="75" t="s">
        <v>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BG3" s="7"/>
      <c r="BT3" s="9"/>
      <c r="CG3" s="10"/>
    </row>
    <row r="4" spans="2:85" ht="15">
      <c r="B4" s="72" t="s">
        <v>39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Y4" s="72" t="s">
        <v>39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BG4" s="8"/>
      <c r="BT4" s="2"/>
      <c r="CG4" s="11"/>
    </row>
    <row r="5" spans="2:85" ht="15.75" thickBot="1">
      <c r="B5" s="72" t="s">
        <v>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Y5" s="71" t="s">
        <v>1</v>
      </c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BG5" s="8"/>
      <c r="BT5" s="2"/>
      <c r="CG5" s="11"/>
    </row>
    <row r="6" spans="2:86" ht="33" customHeight="1" thickBot="1">
      <c r="B6" s="41" t="s">
        <v>2</v>
      </c>
      <c r="C6" s="41">
        <v>2003</v>
      </c>
      <c r="D6" s="34">
        <v>2004</v>
      </c>
      <c r="E6" s="34">
        <v>2005</v>
      </c>
      <c r="F6" s="34">
        <v>2006</v>
      </c>
      <c r="G6" s="34">
        <v>2007</v>
      </c>
      <c r="H6" s="34">
        <v>2008</v>
      </c>
      <c r="I6" s="34">
        <v>2009</v>
      </c>
      <c r="J6" s="34">
        <v>2010</v>
      </c>
      <c r="K6" s="34">
        <v>2011</v>
      </c>
      <c r="L6" s="34">
        <v>2012</v>
      </c>
      <c r="M6" s="34">
        <v>2013</v>
      </c>
      <c r="N6" s="34">
        <v>2014</v>
      </c>
      <c r="O6" s="34">
        <v>2015</v>
      </c>
      <c r="P6" s="34">
        <v>2016</v>
      </c>
      <c r="Q6" s="34">
        <v>2017</v>
      </c>
      <c r="R6" s="34">
        <v>2018</v>
      </c>
      <c r="S6" s="34">
        <v>2019</v>
      </c>
      <c r="T6" s="34">
        <v>2020</v>
      </c>
      <c r="U6" s="34">
        <v>2021</v>
      </c>
      <c r="V6" s="34">
        <v>2022</v>
      </c>
      <c r="W6" s="55">
        <v>2023</v>
      </c>
      <c r="X6" s="12"/>
      <c r="Y6" s="33" t="s">
        <v>2</v>
      </c>
      <c r="Z6" s="41">
        <v>2003</v>
      </c>
      <c r="AA6" s="34">
        <v>2004</v>
      </c>
      <c r="AB6" s="34">
        <v>2005</v>
      </c>
      <c r="AC6" s="34">
        <v>2006</v>
      </c>
      <c r="AD6" s="34">
        <v>2007</v>
      </c>
      <c r="AE6" s="34">
        <v>2008</v>
      </c>
      <c r="AF6" s="34">
        <v>2009</v>
      </c>
      <c r="AG6" s="34">
        <v>2010</v>
      </c>
      <c r="AH6" s="34">
        <v>2011</v>
      </c>
      <c r="AI6" s="34">
        <v>2012</v>
      </c>
      <c r="AJ6" s="34">
        <v>2013</v>
      </c>
      <c r="AK6" s="34">
        <v>2014</v>
      </c>
      <c r="AL6" s="34">
        <v>2015</v>
      </c>
      <c r="AM6" s="34">
        <v>2016</v>
      </c>
      <c r="AN6" s="34">
        <v>2017</v>
      </c>
      <c r="AO6" s="34">
        <v>2018</v>
      </c>
      <c r="AP6" s="34">
        <v>2019</v>
      </c>
      <c r="AQ6" s="34">
        <v>2020</v>
      </c>
      <c r="AR6" s="34">
        <v>2021</v>
      </c>
      <c r="AS6" s="34">
        <v>2022</v>
      </c>
      <c r="AT6" s="55">
        <v>2023</v>
      </c>
      <c r="AU6" s="12"/>
      <c r="BH6" s="12"/>
      <c r="BU6" s="13"/>
      <c r="CH6" s="14"/>
    </row>
    <row r="7" spans="2:86" ht="4.5" customHeight="1">
      <c r="B7" s="45"/>
      <c r="C7" s="47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56"/>
      <c r="X7" s="12"/>
      <c r="Y7" s="46"/>
      <c r="Z7" s="47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56"/>
      <c r="AU7" s="12"/>
      <c r="BH7" s="12"/>
      <c r="BU7" s="13"/>
      <c r="CH7" s="14"/>
    </row>
    <row r="8" spans="2:86" ht="15">
      <c r="B8" s="40" t="s">
        <v>27</v>
      </c>
      <c r="C8" s="60">
        <v>259.57396104000003</v>
      </c>
      <c r="D8" s="39">
        <v>266.8065451</v>
      </c>
      <c r="E8" s="39">
        <v>308.49138636000004</v>
      </c>
      <c r="F8" s="39">
        <v>435.12958075</v>
      </c>
      <c r="G8" s="39">
        <v>453.58902827</v>
      </c>
      <c r="H8" s="39">
        <v>501.15321565999994</v>
      </c>
      <c r="I8" s="39">
        <v>525.25276474</v>
      </c>
      <c r="J8" s="39">
        <v>592.36585141</v>
      </c>
      <c r="K8" s="39">
        <v>696.99643924</v>
      </c>
      <c r="L8" s="39">
        <v>847.4596894299999</v>
      </c>
      <c r="M8" s="39">
        <v>983.72680514</v>
      </c>
      <c r="N8" s="39">
        <v>1138.7236926300002</v>
      </c>
      <c r="O8" s="39">
        <v>1110.5704849</v>
      </c>
      <c r="P8" s="39">
        <v>1139.41660215</v>
      </c>
      <c r="Q8" s="39">
        <v>1307.04008548</v>
      </c>
      <c r="R8" s="39">
        <v>1426.7409383899999</v>
      </c>
      <c r="S8" s="39">
        <v>1342.12151373</v>
      </c>
      <c r="T8" s="39">
        <v>1590.88661054</v>
      </c>
      <c r="U8" s="39">
        <v>1708.27997129</v>
      </c>
      <c r="V8" s="39">
        <v>1966.8703853000002</v>
      </c>
      <c r="W8" s="59">
        <v>2335.22717681</v>
      </c>
      <c r="X8" s="12"/>
      <c r="Y8" s="37" t="s">
        <v>27</v>
      </c>
      <c r="Z8" s="60">
        <v>601.87472425</v>
      </c>
      <c r="AA8" s="39">
        <v>581.0094476800001</v>
      </c>
      <c r="AB8" s="39">
        <v>2.45004982</v>
      </c>
      <c r="AC8" s="39">
        <v>1.203672</v>
      </c>
      <c r="AD8" s="39">
        <v>1.04556575</v>
      </c>
      <c r="AE8" s="39">
        <v>0.52109626</v>
      </c>
      <c r="AF8" s="39">
        <v>0.16021485</v>
      </c>
      <c r="AG8" s="39">
        <v>0.06972896</v>
      </c>
      <c r="AH8" s="39">
        <v>0.06403183</v>
      </c>
      <c r="AI8" s="39">
        <v>0.2877316</v>
      </c>
      <c r="AJ8" s="39">
        <v>1.5E-05</v>
      </c>
      <c r="AK8" s="39">
        <v>0.02751366</v>
      </c>
      <c r="AL8" s="39">
        <v>0</v>
      </c>
      <c r="AM8" s="39">
        <v>0.0015008399999999998</v>
      </c>
      <c r="AN8" s="39">
        <v>0</v>
      </c>
      <c r="AO8" s="39">
        <v>0</v>
      </c>
      <c r="AP8" s="39">
        <v>0</v>
      </c>
      <c r="AQ8" s="39">
        <v>0.50034394</v>
      </c>
      <c r="AR8" s="39">
        <v>0</v>
      </c>
      <c r="AS8" s="39">
        <v>0.21650411</v>
      </c>
      <c r="AT8" s="59">
        <v>0.01997888</v>
      </c>
      <c r="AU8" s="12"/>
      <c r="BH8" s="12"/>
      <c r="BU8" s="15"/>
      <c r="CH8" s="16"/>
    </row>
    <row r="9" spans="2:86" ht="15">
      <c r="B9" s="40" t="s">
        <v>28</v>
      </c>
      <c r="C9" s="60">
        <v>124.81380673999999</v>
      </c>
      <c r="D9" s="39">
        <v>128.92467205</v>
      </c>
      <c r="E9" s="39">
        <v>228.33890455</v>
      </c>
      <c r="F9" s="39">
        <v>259.21466247</v>
      </c>
      <c r="G9" s="39">
        <v>306.7115021</v>
      </c>
      <c r="H9" s="39">
        <v>394.38775799</v>
      </c>
      <c r="I9" s="39">
        <v>414.27636043</v>
      </c>
      <c r="J9" s="39">
        <v>431.59411549000004</v>
      </c>
      <c r="K9" s="39">
        <v>496.77832465999995</v>
      </c>
      <c r="L9" s="39">
        <v>541.76039211</v>
      </c>
      <c r="M9" s="39">
        <v>699.6631803500001</v>
      </c>
      <c r="N9" s="39">
        <v>836.55175136</v>
      </c>
      <c r="O9" s="39">
        <v>896.07514461</v>
      </c>
      <c r="P9" s="39">
        <v>776.9550745399999</v>
      </c>
      <c r="Q9" s="39">
        <v>903.5579155700001</v>
      </c>
      <c r="R9" s="39">
        <v>881.3650741900001</v>
      </c>
      <c r="S9" s="39">
        <v>945.87900926</v>
      </c>
      <c r="T9" s="39">
        <v>1012.4856831000001</v>
      </c>
      <c r="U9" s="39">
        <v>1059.7331528500001</v>
      </c>
      <c r="V9" s="39">
        <v>1158.24212441</v>
      </c>
      <c r="W9" s="59">
        <v>1301.4321666100002</v>
      </c>
      <c r="X9" s="12"/>
      <c r="Y9" s="37" t="s">
        <v>28</v>
      </c>
      <c r="Z9" s="60">
        <v>13.22652359</v>
      </c>
      <c r="AA9" s="39">
        <v>12.31942873</v>
      </c>
      <c r="AB9" s="39">
        <v>1.534704</v>
      </c>
      <c r="AC9" s="39">
        <v>0.8074654</v>
      </c>
      <c r="AD9" s="39">
        <v>1.00396179</v>
      </c>
      <c r="AE9" s="39">
        <v>0.36179871</v>
      </c>
      <c r="AF9" s="39">
        <v>0.18955126</v>
      </c>
      <c r="AG9" s="39">
        <v>0.03442748</v>
      </c>
      <c r="AH9" s="39">
        <v>0.46084476</v>
      </c>
      <c r="AI9" s="39">
        <v>1.5E-05</v>
      </c>
      <c r="AJ9" s="39">
        <v>0</v>
      </c>
      <c r="AK9" s="39">
        <v>0.03355139</v>
      </c>
      <c r="AL9" s="39">
        <v>0</v>
      </c>
      <c r="AM9" s="39">
        <v>0.00117752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59">
        <v>0.01997888</v>
      </c>
      <c r="AU9" s="12"/>
      <c r="BH9" s="12"/>
      <c r="BU9" s="15"/>
      <c r="CH9" s="16"/>
    </row>
    <row r="10" spans="2:86" ht="15">
      <c r="B10" s="40" t="s">
        <v>29</v>
      </c>
      <c r="C10" s="60">
        <v>122.76343856999998</v>
      </c>
      <c r="D10" s="39">
        <v>101.94335513</v>
      </c>
      <c r="E10" s="39">
        <v>292.34907224</v>
      </c>
      <c r="F10" s="39">
        <v>834.98219692</v>
      </c>
      <c r="G10" s="39">
        <v>1177.3022041599997</v>
      </c>
      <c r="H10" s="39">
        <v>1262.28999638</v>
      </c>
      <c r="I10" s="39">
        <v>1081.11840273</v>
      </c>
      <c r="J10" s="39">
        <v>1031.89169356</v>
      </c>
      <c r="K10" s="39">
        <v>1723.6709013600002</v>
      </c>
      <c r="L10" s="39">
        <v>1521.25111321</v>
      </c>
      <c r="M10" s="39">
        <v>1771.22592181</v>
      </c>
      <c r="N10" s="39">
        <v>1655.70555489</v>
      </c>
      <c r="O10" s="39">
        <v>1560.39491773</v>
      </c>
      <c r="P10" s="39">
        <v>1657.3380389099998</v>
      </c>
      <c r="Q10" s="39">
        <v>1930.8407648999998</v>
      </c>
      <c r="R10" s="39">
        <v>1912.44258362</v>
      </c>
      <c r="S10" s="39">
        <v>1943.26368298</v>
      </c>
      <c r="T10" s="39">
        <v>1253.9311223900002</v>
      </c>
      <c r="U10" s="39">
        <v>2281.01894023</v>
      </c>
      <c r="V10" s="39">
        <v>3112.1549404400002</v>
      </c>
      <c r="W10" s="59">
        <v>3541.33999304</v>
      </c>
      <c r="X10" s="12"/>
      <c r="Y10" s="37" t="s">
        <v>29</v>
      </c>
      <c r="Z10" s="60">
        <v>5.7064926</v>
      </c>
      <c r="AA10" s="39">
        <v>9.67136597</v>
      </c>
      <c r="AB10" s="39">
        <v>2.8231947400000004</v>
      </c>
      <c r="AC10" s="39">
        <v>1.59162378</v>
      </c>
      <c r="AD10" s="39">
        <v>1.2703856299999998</v>
      </c>
      <c r="AE10" s="39">
        <v>0.30317996</v>
      </c>
      <c r="AF10" s="39">
        <v>0.09172142999999999</v>
      </c>
      <c r="AG10" s="39">
        <v>0.34719032</v>
      </c>
      <c r="AH10" s="39">
        <v>6.1620604299999995</v>
      </c>
      <c r="AI10" s="39">
        <v>0.052107879999999995</v>
      </c>
      <c r="AJ10" s="39">
        <v>0</v>
      </c>
      <c r="AK10" s="39">
        <v>0.00189132</v>
      </c>
      <c r="AL10" s="39">
        <v>0</v>
      </c>
      <c r="AM10" s="39">
        <v>0.93165151</v>
      </c>
      <c r="AN10" s="39">
        <v>0.20253749</v>
      </c>
      <c r="AO10" s="39">
        <v>0.0001575</v>
      </c>
      <c r="AP10" s="39">
        <v>0</v>
      </c>
      <c r="AQ10" s="39">
        <v>0</v>
      </c>
      <c r="AR10" s="39">
        <v>1.8451193000000001</v>
      </c>
      <c r="AS10" s="39">
        <v>0</v>
      </c>
      <c r="AT10" s="59">
        <v>0.020114419999999997</v>
      </c>
      <c r="AU10" s="12"/>
      <c r="BH10" s="12"/>
      <c r="BU10" s="15"/>
      <c r="CH10" s="16"/>
    </row>
    <row r="11" spans="2:86" ht="15">
      <c r="B11" s="40" t="s">
        <v>30</v>
      </c>
      <c r="C11" s="60">
        <v>292.23914264000007</v>
      </c>
      <c r="D11" s="39">
        <v>368.59634622</v>
      </c>
      <c r="E11" s="39">
        <v>433.43788153</v>
      </c>
      <c r="F11" s="39">
        <v>591.04171795</v>
      </c>
      <c r="G11" s="39">
        <v>678.96794517</v>
      </c>
      <c r="H11" s="39">
        <v>799.7847516800001</v>
      </c>
      <c r="I11" s="39">
        <v>721.96205747</v>
      </c>
      <c r="J11" s="39">
        <v>840.94046564</v>
      </c>
      <c r="K11" s="39">
        <v>1079.37175356</v>
      </c>
      <c r="L11" s="39">
        <v>1123.8313326399998</v>
      </c>
      <c r="M11" s="39">
        <v>1494.6037867999999</v>
      </c>
      <c r="N11" s="39">
        <v>1687.8187995</v>
      </c>
      <c r="O11" s="39">
        <v>1559.6303183599998</v>
      </c>
      <c r="P11" s="39">
        <v>1616.94358059</v>
      </c>
      <c r="Q11" s="39">
        <v>2073.32160475</v>
      </c>
      <c r="R11" s="39">
        <v>1896.81667967</v>
      </c>
      <c r="S11" s="39">
        <v>1987.60364201</v>
      </c>
      <c r="T11" s="39">
        <v>2645.26920607</v>
      </c>
      <c r="U11" s="39">
        <v>2671.0923279099998</v>
      </c>
      <c r="V11" s="39">
        <v>3331.2698454700003</v>
      </c>
      <c r="W11" s="59">
        <v>3518.84107175</v>
      </c>
      <c r="X11" s="12"/>
      <c r="Y11" s="37" t="s">
        <v>30</v>
      </c>
      <c r="Z11" s="60">
        <v>630.25943069</v>
      </c>
      <c r="AA11" s="39">
        <v>211.06946354</v>
      </c>
      <c r="AB11" s="39">
        <v>2.91649104</v>
      </c>
      <c r="AC11" s="39">
        <v>0.6108989499999999</v>
      </c>
      <c r="AD11" s="39">
        <v>0.81292595</v>
      </c>
      <c r="AE11" s="39">
        <v>0.33318189000000004</v>
      </c>
      <c r="AF11" s="39">
        <v>0.07785589999999999</v>
      </c>
      <c r="AG11" s="39">
        <v>0.07562716</v>
      </c>
      <c r="AH11" s="39">
        <v>0.89325745</v>
      </c>
      <c r="AI11" s="39">
        <v>0</v>
      </c>
      <c r="AJ11" s="39">
        <v>0.00154089</v>
      </c>
      <c r="AK11" s="39">
        <v>0</v>
      </c>
      <c r="AL11" s="39">
        <v>0</v>
      </c>
      <c r="AM11" s="39">
        <v>0</v>
      </c>
      <c r="AN11" s="39">
        <v>0.00040366</v>
      </c>
      <c r="AO11" s="39">
        <v>0</v>
      </c>
      <c r="AP11" s="39">
        <v>0</v>
      </c>
      <c r="AQ11" s="39">
        <v>0</v>
      </c>
      <c r="AR11" s="39">
        <v>0.00665769</v>
      </c>
      <c r="AS11" s="39">
        <v>0</v>
      </c>
      <c r="AT11" s="59">
        <v>0.01997888</v>
      </c>
      <c r="AU11" s="12"/>
      <c r="BH11" s="12"/>
      <c r="BU11" s="15"/>
      <c r="CH11" s="16"/>
    </row>
    <row r="12" spans="2:86" ht="15">
      <c r="B12" s="40" t="s">
        <v>31</v>
      </c>
      <c r="C12" s="60">
        <v>465.19821269000016</v>
      </c>
      <c r="D12" s="39">
        <v>542.82443685</v>
      </c>
      <c r="E12" s="39">
        <v>701.5355319099999</v>
      </c>
      <c r="F12" s="39">
        <v>243.60285561</v>
      </c>
      <c r="G12" s="39">
        <v>313.78961893</v>
      </c>
      <c r="H12" s="39">
        <v>371.49678761</v>
      </c>
      <c r="I12" s="39">
        <v>378.61884358000003</v>
      </c>
      <c r="J12" s="39">
        <v>398.04089349000003</v>
      </c>
      <c r="K12" s="39">
        <v>499.93640646</v>
      </c>
      <c r="L12" s="39">
        <v>553.3079727100001</v>
      </c>
      <c r="M12" s="39">
        <v>762.79689522</v>
      </c>
      <c r="N12" s="39">
        <v>868.3866964700001</v>
      </c>
      <c r="O12" s="39">
        <v>871.48890072</v>
      </c>
      <c r="P12" s="39">
        <v>1523.53465265</v>
      </c>
      <c r="Q12" s="39">
        <v>942.01683083</v>
      </c>
      <c r="R12" s="39">
        <v>1104.75658112</v>
      </c>
      <c r="S12" s="39">
        <v>1083.2071436600002</v>
      </c>
      <c r="T12" s="39">
        <v>949.64950626</v>
      </c>
      <c r="U12" s="39">
        <v>1358.95282752</v>
      </c>
      <c r="V12" s="39">
        <v>1569.07381245</v>
      </c>
      <c r="W12" s="59">
        <v>1759.24802074</v>
      </c>
      <c r="X12" s="12"/>
      <c r="Y12" s="37" t="s">
        <v>31</v>
      </c>
      <c r="Z12" s="60">
        <v>12.71687109</v>
      </c>
      <c r="AA12" s="39">
        <v>11.35622522</v>
      </c>
      <c r="AB12" s="39">
        <v>2.87889681</v>
      </c>
      <c r="AC12" s="39">
        <v>1.15608884</v>
      </c>
      <c r="AD12" s="39">
        <v>0.55812377</v>
      </c>
      <c r="AE12" s="39">
        <v>0.18822946</v>
      </c>
      <c r="AF12" s="39">
        <v>0.021417759999999997</v>
      </c>
      <c r="AG12" s="39">
        <v>0.46701172</v>
      </c>
      <c r="AH12" s="39">
        <v>0.20401688</v>
      </c>
      <c r="AI12" s="39">
        <v>0.00181076</v>
      </c>
      <c r="AJ12" s="39">
        <v>0</v>
      </c>
      <c r="AK12" s="39">
        <v>0.017155490000000002</v>
      </c>
      <c r="AL12" s="39">
        <v>0.01881027</v>
      </c>
      <c r="AM12" s="39">
        <v>0</v>
      </c>
      <c r="AN12" s="39">
        <v>0.01503694</v>
      </c>
      <c r="AO12" s="39">
        <v>0</v>
      </c>
      <c r="AP12" s="39">
        <v>0</v>
      </c>
      <c r="AQ12" s="39">
        <v>0</v>
      </c>
      <c r="AR12" s="39">
        <v>1.26750296</v>
      </c>
      <c r="AS12" s="39">
        <v>0</v>
      </c>
      <c r="AT12" s="59">
        <v>0.019980599999999998</v>
      </c>
      <c r="AU12" s="12"/>
      <c r="BH12" s="12"/>
      <c r="BU12" s="15"/>
      <c r="CH12" s="16"/>
    </row>
    <row r="13" spans="2:86" ht="15">
      <c r="B13" s="40" t="s">
        <v>32</v>
      </c>
      <c r="C13" s="60">
        <v>143.33600356999995</v>
      </c>
      <c r="D13" s="39">
        <v>123.61897128000001</v>
      </c>
      <c r="E13" s="39">
        <v>236.57728346000002</v>
      </c>
      <c r="F13" s="39">
        <v>260.39243805</v>
      </c>
      <c r="G13" s="39">
        <v>342.44463875</v>
      </c>
      <c r="H13" s="39">
        <v>387.41071311</v>
      </c>
      <c r="I13" s="39">
        <v>398.66976463000003</v>
      </c>
      <c r="J13" s="39">
        <v>426.5972076700001</v>
      </c>
      <c r="K13" s="39">
        <v>568.7578740899999</v>
      </c>
      <c r="L13" s="39">
        <v>583.05177278</v>
      </c>
      <c r="M13" s="39">
        <v>701.3886509700001</v>
      </c>
      <c r="N13" s="39">
        <v>871.51624761</v>
      </c>
      <c r="O13" s="39">
        <v>828.73398725</v>
      </c>
      <c r="P13" s="39">
        <v>1010.78681099</v>
      </c>
      <c r="Q13" s="39">
        <v>1303.6222666600002</v>
      </c>
      <c r="R13" s="39">
        <v>1066.84025246</v>
      </c>
      <c r="S13" s="39">
        <v>1038.57110203</v>
      </c>
      <c r="T13" s="39">
        <v>875.63449823</v>
      </c>
      <c r="U13" s="39">
        <v>1120.98516952</v>
      </c>
      <c r="V13" s="39">
        <v>1401.9196786300001</v>
      </c>
      <c r="W13" s="59">
        <v>1464.1204905499999</v>
      </c>
      <c r="X13" s="12"/>
      <c r="Y13" s="37" t="s">
        <v>32</v>
      </c>
      <c r="Z13" s="60">
        <v>9.68537233</v>
      </c>
      <c r="AA13" s="39">
        <v>6.028200200000001</v>
      </c>
      <c r="AB13" s="39">
        <v>2.41980009</v>
      </c>
      <c r="AC13" s="39">
        <v>0.73337988</v>
      </c>
      <c r="AD13" s="39">
        <v>0.71119583</v>
      </c>
      <c r="AE13" s="39">
        <v>7.6612279800000005</v>
      </c>
      <c r="AF13" s="39">
        <v>0.48883871</v>
      </c>
      <c r="AG13" s="39">
        <v>0.11149889</v>
      </c>
      <c r="AH13" s="39">
        <v>0.00531737</v>
      </c>
      <c r="AI13" s="39">
        <v>0.000125</v>
      </c>
      <c r="AJ13" s="39">
        <v>0.08816056</v>
      </c>
      <c r="AK13" s="39">
        <v>0</v>
      </c>
      <c r="AL13" s="39">
        <v>0</v>
      </c>
      <c r="AM13" s="39">
        <v>0.01243248</v>
      </c>
      <c r="AN13" s="39">
        <v>3.15907433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59">
        <v>0.01997888</v>
      </c>
      <c r="AU13" s="12"/>
      <c r="BH13" s="12"/>
      <c r="BU13" s="15"/>
      <c r="CH13" s="16"/>
    </row>
    <row r="14" spans="2:86" ht="15">
      <c r="B14" s="40" t="s">
        <v>33</v>
      </c>
      <c r="C14" s="60">
        <v>349.06594316</v>
      </c>
      <c r="D14" s="39">
        <v>387.91187811000003</v>
      </c>
      <c r="E14" s="39">
        <v>556.01322868</v>
      </c>
      <c r="F14" s="39">
        <v>738.06338553</v>
      </c>
      <c r="G14" s="39">
        <v>822.2327467700001</v>
      </c>
      <c r="H14" s="39">
        <v>958.49175383</v>
      </c>
      <c r="I14" s="39">
        <v>862.2949221900001</v>
      </c>
      <c r="J14" s="39">
        <v>962.58379011</v>
      </c>
      <c r="K14" s="39">
        <v>1218.06291116</v>
      </c>
      <c r="L14" s="39">
        <v>1345.38305696</v>
      </c>
      <c r="M14" s="39">
        <v>1655.2769243399998</v>
      </c>
      <c r="N14" s="39">
        <v>1739.53849953</v>
      </c>
      <c r="O14" s="39">
        <v>1719.45464477</v>
      </c>
      <c r="P14" s="39">
        <v>2323.99491696</v>
      </c>
      <c r="Q14" s="39">
        <v>2053.24783561</v>
      </c>
      <c r="R14" s="39">
        <v>2061.00157067</v>
      </c>
      <c r="S14" s="39">
        <v>2146.95190242</v>
      </c>
      <c r="T14" s="39">
        <v>2088.80642349</v>
      </c>
      <c r="U14" s="39">
        <v>3213.2329504699997</v>
      </c>
      <c r="V14" s="39">
        <v>3785.7993964199995</v>
      </c>
      <c r="W14" s="59">
        <v>4090.4725795100003</v>
      </c>
      <c r="X14" s="12"/>
      <c r="Y14" s="37" t="s">
        <v>33</v>
      </c>
      <c r="Z14" s="60">
        <v>621.3478271200001</v>
      </c>
      <c r="AA14" s="39">
        <v>5.71530102</v>
      </c>
      <c r="AB14" s="39">
        <v>2.04956323</v>
      </c>
      <c r="AC14" s="39">
        <v>1.45614583</v>
      </c>
      <c r="AD14" s="39">
        <v>1.09437028</v>
      </c>
      <c r="AE14" s="39">
        <v>0.12411117999999999</v>
      </c>
      <c r="AF14" s="39">
        <v>0.12603788</v>
      </c>
      <c r="AG14" s="39">
        <v>0.04218847</v>
      </c>
      <c r="AH14" s="39">
        <v>0.01264334</v>
      </c>
      <c r="AI14" s="39">
        <v>0</v>
      </c>
      <c r="AJ14" s="39">
        <v>0.61880426</v>
      </c>
      <c r="AK14" s="39">
        <v>2.2518400699999996</v>
      </c>
      <c r="AL14" s="39">
        <v>0.09197495</v>
      </c>
      <c r="AM14" s="39">
        <v>0</v>
      </c>
      <c r="AN14" s="39">
        <v>2.0080898400000002</v>
      </c>
      <c r="AO14" s="39">
        <v>0</v>
      </c>
      <c r="AP14" s="39">
        <v>0</v>
      </c>
      <c r="AQ14" s="39">
        <v>1.4379215600000002</v>
      </c>
      <c r="AR14" s="39">
        <v>0.22549814</v>
      </c>
      <c r="AS14" s="39">
        <v>5.25E-05</v>
      </c>
      <c r="AT14" s="59">
        <v>0.01997888</v>
      </c>
      <c r="AU14" s="12"/>
      <c r="BH14" s="12"/>
      <c r="BU14" s="15"/>
      <c r="CH14" s="16"/>
    </row>
    <row r="15" spans="2:86" ht="15">
      <c r="B15" s="40" t="s">
        <v>34</v>
      </c>
      <c r="C15" s="60">
        <v>102.49728713</v>
      </c>
      <c r="D15" s="39">
        <v>143.36985505</v>
      </c>
      <c r="E15" s="39">
        <v>245.35959520999998</v>
      </c>
      <c r="F15" s="39">
        <v>312.00658981</v>
      </c>
      <c r="G15" s="39">
        <v>343.54554415999996</v>
      </c>
      <c r="H15" s="39">
        <v>385.89730342</v>
      </c>
      <c r="I15" s="39">
        <v>429.42267409000004</v>
      </c>
      <c r="J15" s="39">
        <v>491.45892156</v>
      </c>
      <c r="K15" s="39">
        <v>613.4404835</v>
      </c>
      <c r="L15" s="39">
        <v>605.8222602100001</v>
      </c>
      <c r="M15" s="39">
        <v>769.7499325599999</v>
      </c>
      <c r="N15" s="39">
        <v>946.7955533400001</v>
      </c>
      <c r="O15" s="39">
        <v>864.7070949199999</v>
      </c>
      <c r="P15" s="39">
        <v>1187.00447477</v>
      </c>
      <c r="Q15" s="39">
        <v>960.45963526</v>
      </c>
      <c r="R15" s="39">
        <v>936.4971998</v>
      </c>
      <c r="S15" s="39">
        <v>1020.04479305</v>
      </c>
      <c r="T15" s="39">
        <v>864.2878065399999</v>
      </c>
      <c r="U15" s="39">
        <v>1206.80189498</v>
      </c>
      <c r="V15" s="39">
        <v>1353.0764331300002</v>
      </c>
      <c r="W15" s="59">
        <v>1479.52802506</v>
      </c>
      <c r="X15" s="12"/>
      <c r="Y15" s="37" t="s">
        <v>34</v>
      </c>
      <c r="Z15" s="60">
        <v>12.472773980000001</v>
      </c>
      <c r="AA15" s="39">
        <v>4.37060552</v>
      </c>
      <c r="AB15" s="39">
        <v>1.9201189699999999</v>
      </c>
      <c r="AC15" s="39">
        <v>1.2241794799999999</v>
      </c>
      <c r="AD15" s="39">
        <v>0.59039341</v>
      </c>
      <c r="AE15" s="39">
        <v>0.1367317</v>
      </c>
      <c r="AF15" s="39">
        <v>0.18888128</v>
      </c>
      <c r="AG15" s="39">
        <v>0.12112578</v>
      </c>
      <c r="AH15" s="39">
        <v>0.18786313000000002</v>
      </c>
      <c r="AI15" s="39">
        <v>0.000275</v>
      </c>
      <c r="AJ15" s="39">
        <v>0.89807995</v>
      </c>
      <c r="AK15" s="39">
        <v>0.22032558</v>
      </c>
      <c r="AL15" s="39">
        <v>0.05283354</v>
      </c>
      <c r="AM15" s="39">
        <v>0.0030414699999999997</v>
      </c>
      <c r="AN15" s="39">
        <v>0.02373549</v>
      </c>
      <c r="AO15" s="39">
        <v>0.00059313</v>
      </c>
      <c r="AP15" s="39">
        <v>0</v>
      </c>
      <c r="AQ15" s="39">
        <v>0</v>
      </c>
      <c r="AR15" s="39">
        <v>0</v>
      </c>
      <c r="AS15" s="39">
        <v>0</v>
      </c>
      <c r="AT15" s="59">
        <v>0.01997888</v>
      </c>
      <c r="AU15" s="12"/>
      <c r="BH15" s="12"/>
      <c r="BU15" s="15"/>
      <c r="CH15" s="16"/>
    </row>
    <row r="16" spans="2:86" ht="15">
      <c r="B16" s="40" t="s">
        <v>35</v>
      </c>
      <c r="C16" s="60">
        <v>85.85444450000001</v>
      </c>
      <c r="D16" s="39">
        <v>154.86271744</v>
      </c>
      <c r="E16" s="39">
        <v>227.53645531</v>
      </c>
      <c r="F16" s="39">
        <v>304.84092732</v>
      </c>
      <c r="G16" s="39">
        <v>383.18309285000004</v>
      </c>
      <c r="H16" s="39">
        <v>386.36529190999994</v>
      </c>
      <c r="I16" s="39">
        <v>424.34324226</v>
      </c>
      <c r="J16" s="39">
        <v>475.1862069300001</v>
      </c>
      <c r="K16" s="39">
        <v>558.42689879</v>
      </c>
      <c r="L16" s="39">
        <v>627.1384539100001</v>
      </c>
      <c r="M16" s="39">
        <v>736.40848951</v>
      </c>
      <c r="N16" s="39">
        <v>900.11436672</v>
      </c>
      <c r="O16" s="39">
        <v>788.71011451</v>
      </c>
      <c r="P16" s="39">
        <v>881.66173812</v>
      </c>
      <c r="Q16" s="39">
        <v>886.16621172</v>
      </c>
      <c r="R16" s="39">
        <v>892.0856798000001</v>
      </c>
      <c r="S16" s="39">
        <v>1044.7769623999998</v>
      </c>
      <c r="T16" s="39">
        <v>905.44996837</v>
      </c>
      <c r="U16" s="39">
        <v>1191.60734654</v>
      </c>
      <c r="V16" s="39">
        <v>1319.4807603299998</v>
      </c>
      <c r="W16" s="59">
        <v>1469.54760496</v>
      </c>
      <c r="X16" s="12"/>
      <c r="Y16" s="37" t="s">
        <v>35</v>
      </c>
      <c r="Z16" s="60">
        <v>8.62854674</v>
      </c>
      <c r="AA16" s="39">
        <v>5.082357200000001</v>
      </c>
      <c r="AB16" s="39">
        <v>1.4407067900000001</v>
      </c>
      <c r="AC16" s="39">
        <v>2.2636257599999996</v>
      </c>
      <c r="AD16" s="39">
        <v>0.36333090999999995</v>
      </c>
      <c r="AE16" s="39">
        <v>0.15553573</v>
      </c>
      <c r="AF16" s="39">
        <v>0.08450136</v>
      </c>
      <c r="AG16" s="39">
        <v>0.00936532</v>
      </c>
      <c r="AH16" s="39">
        <v>0.0005625</v>
      </c>
      <c r="AI16" s="39">
        <v>2.5E-05</v>
      </c>
      <c r="AJ16" s="39">
        <v>1.0501040400000001</v>
      </c>
      <c r="AK16" s="39">
        <v>0.1624312</v>
      </c>
      <c r="AL16" s="39">
        <v>0.06951354</v>
      </c>
      <c r="AM16" s="39">
        <v>0</v>
      </c>
      <c r="AN16" s="39">
        <v>0.80605584</v>
      </c>
      <c r="AO16" s="39">
        <v>0.00212402</v>
      </c>
      <c r="AP16" s="39">
        <v>0</v>
      </c>
      <c r="AQ16" s="39">
        <v>0</v>
      </c>
      <c r="AR16" s="39">
        <v>0.007009270000000001</v>
      </c>
      <c r="AS16" s="39">
        <v>0.00237442</v>
      </c>
      <c r="AT16" s="59">
        <v>0.65154009</v>
      </c>
      <c r="AU16" s="12"/>
      <c r="BH16" s="12"/>
      <c r="BU16" s="15"/>
      <c r="CH16" s="16"/>
    </row>
    <row r="17" spans="2:86" ht="15">
      <c r="B17" s="40" t="s">
        <v>36</v>
      </c>
      <c r="C17" s="60">
        <v>455.05964458000005</v>
      </c>
      <c r="D17" s="39">
        <v>603.89330532</v>
      </c>
      <c r="E17" s="39">
        <v>644.42174172</v>
      </c>
      <c r="F17" s="39">
        <v>801.75705629</v>
      </c>
      <c r="G17" s="39">
        <v>1005.6409298899999</v>
      </c>
      <c r="H17" s="39">
        <v>1060.17830633</v>
      </c>
      <c r="I17" s="39">
        <v>1031.36031483</v>
      </c>
      <c r="J17" s="39">
        <v>1085.95924008</v>
      </c>
      <c r="K17" s="39">
        <v>1371.3633380700003</v>
      </c>
      <c r="L17" s="39">
        <v>1451.22336722</v>
      </c>
      <c r="M17" s="39">
        <v>1697.3269676300001</v>
      </c>
      <c r="N17" s="39">
        <v>1848.72238774</v>
      </c>
      <c r="O17" s="39">
        <v>1761.9005809499997</v>
      </c>
      <c r="P17" s="39">
        <v>2080.50020523</v>
      </c>
      <c r="Q17" s="39">
        <v>2085.23196663</v>
      </c>
      <c r="R17" s="39">
        <v>2087.23175126</v>
      </c>
      <c r="S17" s="39">
        <v>2328.2152427799997</v>
      </c>
      <c r="T17" s="39">
        <v>2577.1166657400004</v>
      </c>
      <c r="U17" s="39">
        <v>3456.47264804</v>
      </c>
      <c r="V17" s="39">
        <v>3746.87651144</v>
      </c>
      <c r="W17" s="59">
        <v>4441.669092909993</v>
      </c>
      <c r="X17" s="12"/>
      <c r="Y17" s="37" t="s">
        <v>36</v>
      </c>
      <c r="Z17" s="60">
        <v>611.45103224</v>
      </c>
      <c r="AA17" s="39">
        <v>2.94373692</v>
      </c>
      <c r="AB17" s="39">
        <v>0.95356081</v>
      </c>
      <c r="AC17" s="39">
        <v>0.58439737</v>
      </c>
      <c r="AD17" s="39">
        <v>0.63901694</v>
      </c>
      <c r="AE17" s="39">
        <v>0.29100109</v>
      </c>
      <c r="AF17" s="39">
        <v>0.27331153999999996</v>
      </c>
      <c r="AG17" s="39">
        <v>0.58130551</v>
      </c>
      <c r="AH17" s="39">
        <v>0</v>
      </c>
      <c r="AI17" s="39">
        <v>0.0002296</v>
      </c>
      <c r="AJ17" s="39">
        <v>7.5E-06</v>
      </c>
      <c r="AK17" s="39">
        <v>0</v>
      </c>
      <c r="AL17" s="39">
        <v>0</v>
      </c>
      <c r="AM17" s="39">
        <v>0.0042</v>
      </c>
      <c r="AN17" s="39">
        <v>0.10588713000000001</v>
      </c>
      <c r="AO17" s="39">
        <v>0</v>
      </c>
      <c r="AP17" s="39">
        <v>0.05075894</v>
      </c>
      <c r="AQ17" s="39">
        <v>0</v>
      </c>
      <c r="AR17" s="39">
        <v>0.0004</v>
      </c>
      <c r="AS17" s="39">
        <v>1.9093196499999998</v>
      </c>
      <c r="AT17" s="59">
        <v>0.019980599999999998</v>
      </c>
      <c r="AU17" s="12"/>
      <c r="BH17" s="12"/>
      <c r="BU17" s="15"/>
      <c r="CH17" s="16"/>
    </row>
    <row r="18" spans="2:86" ht="15">
      <c r="B18" s="40" t="s">
        <v>37</v>
      </c>
      <c r="C18" s="60">
        <v>197.19958793999996</v>
      </c>
      <c r="D18" s="39">
        <v>276.04829241000004</v>
      </c>
      <c r="E18" s="39">
        <v>243.26097218</v>
      </c>
      <c r="F18" s="39">
        <v>312.88102597</v>
      </c>
      <c r="G18" s="39">
        <v>381.03185576</v>
      </c>
      <c r="H18" s="39">
        <v>417.37445395</v>
      </c>
      <c r="I18" s="39">
        <v>462.37453681000005</v>
      </c>
      <c r="J18" s="39">
        <v>476.30959471</v>
      </c>
      <c r="K18" s="39">
        <v>592.9118978299999</v>
      </c>
      <c r="L18" s="39">
        <v>699.7539506</v>
      </c>
      <c r="M18" s="39">
        <v>745.8757019000001</v>
      </c>
      <c r="N18" s="39">
        <v>850.03782264</v>
      </c>
      <c r="O18" s="39">
        <v>818.11616837</v>
      </c>
      <c r="P18" s="39">
        <v>1042.04684773</v>
      </c>
      <c r="Q18" s="39">
        <v>910.16415101</v>
      </c>
      <c r="R18" s="39">
        <v>1009.3166886399999</v>
      </c>
      <c r="S18" s="39">
        <v>963.65322051</v>
      </c>
      <c r="T18" s="39">
        <v>961.23497107</v>
      </c>
      <c r="U18" s="39">
        <v>1138.53835078</v>
      </c>
      <c r="V18" s="39">
        <v>1370.22309332</v>
      </c>
      <c r="W18" s="59"/>
      <c r="X18" s="12"/>
      <c r="Y18" s="37" t="s">
        <v>37</v>
      </c>
      <c r="Z18" s="60">
        <v>13.11078543</v>
      </c>
      <c r="AA18" s="39">
        <v>2.33382754</v>
      </c>
      <c r="AB18" s="39">
        <v>3.3924281400000003</v>
      </c>
      <c r="AC18" s="39">
        <v>1.74268803</v>
      </c>
      <c r="AD18" s="39">
        <v>0.56383589</v>
      </c>
      <c r="AE18" s="39">
        <v>0.43475383</v>
      </c>
      <c r="AF18" s="39">
        <v>0.03656769</v>
      </c>
      <c r="AG18" s="39">
        <v>0.07092819</v>
      </c>
      <c r="AH18" s="39">
        <v>0.00075</v>
      </c>
      <c r="AI18" s="39">
        <v>0</v>
      </c>
      <c r="AJ18" s="39">
        <v>0</v>
      </c>
      <c r="AK18" s="39">
        <v>0.000147</v>
      </c>
      <c r="AL18" s="39">
        <v>0.00025792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0.00380906</v>
      </c>
      <c r="AT18" s="59"/>
      <c r="AU18" s="12"/>
      <c r="BH18" s="12"/>
      <c r="BU18" s="15"/>
      <c r="CH18" s="16"/>
    </row>
    <row r="19" spans="2:86" ht="15.75" thickBot="1">
      <c r="B19" s="40" t="s">
        <v>38</v>
      </c>
      <c r="C19" s="60">
        <v>93.91716793000002</v>
      </c>
      <c r="D19" s="39">
        <v>187.93743347</v>
      </c>
      <c r="E19" s="39">
        <v>257.82122326999996</v>
      </c>
      <c r="F19" s="39">
        <v>339.77413654</v>
      </c>
      <c r="G19" s="39">
        <v>389.64188753</v>
      </c>
      <c r="H19" s="39">
        <v>427.13884311000004</v>
      </c>
      <c r="I19" s="39">
        <v>469.13123268</v>
      </c>
      <c r="J19" s="39">
        <v>530.572931</v>
      </c>
      <c r="K19" s="39">
        <v>643.57217651</v>
      </c>
      <c r="L19" s="39">
        <v>695.34274353</v>
      </c>
      <c r="M19" s="39">
        <v>757.30780187</v>
      </c>
      <c r="N19" s="39">
        <v>863.0153179600001</v>
      </c>
      <c r="O19" s="39">
        <v>847.48362247</v>
      </c>
      <c r="P19" s="39">
        <v>1258.94531855</v>
      </c>
      <c r="Q19" s="39">
        <v>951.25431784</v>
      </c>
      <c r="R19" s="39">
        <v>961.19995737</v>
      </c>
      <c r="S19" s="39">
        <v>1254.2753621000002</v>
      </c>
      <c r="T19" s="39">
        <v>1024.23058455</v>
      </c>
      <c r="U19" s="39">
        <v>2881.1297551400003</v>
      </c>
      <c r="V19" s="39">
        <v>1540.41781816</v>
      </c>
      <c r="W19" s="59"/>
      <c r="X19" s="12"/>
      <c r="Y19" s="37" t="s">
        <v>38</v>
      </c>
      <c r="Z19" s="60">
        <v>17.11048422</v>
      </c>
      <c r="AA19" s="39">
        <v>2.9131901</v>
      </c>
      <c r="AB19" s="39">
        <v>1.50390127</v>
      </c>
      <c r="AC19" s="39">
        <v>1.08298426</v>
      </c>
      <c r="AD19" s="39">
        <v>0.27899076</v>
      </c>
      <c r="AE19" s="39">
        <v>0.13101994</v>
      </c>
      <c r="AF19" s="39">
        <v>0.0802173</v>
      </c>
      <c r="AG19" s="39">
        <v>0.06023017</v>
      </c>
      <c r="AH19" s="39">
        <v>0.00013611000000000002</v>
      </c>
      <c r="AI19" s="39">
        <v>0</v>
      </c>
      <c r="AJ19" s="39">
        <v>0</v>
      </c>
      <c r="AK19" s="39">
        <v>0</v>
      </c>
      <c r="AL19" s="39">
        <v>0.0002072</v>
      </c>
      <c r="AM19" s="39">
        <v>0</v>
      </c>
      <c r="AN19" s="39">
        <v>0</v>
      </c>
      <c r="AO19" s="39">
        <v>0.14825755</v>
      </c>
      <c r="AP19" s="39">
        <v>2.06147033</v>
      </c>
      <c r="AQ19" s="39">
        <v>0</v>
      </c>
      <c r="AR19" s="39">
        <v>2.25E-05</v>
      </c>
      <c r="AS19" s="39">
        <v>0.00615526</v>
      </c>
      <c r="AT19" s="59"/>
      <c r="AU19" s="12"/>
      <c r="BH19" s="12"/>
      <c r="BU19" s="15"/>
      <c r="CH19" s="16"/>
    </row>
    <row r="20" spans="2:86" ht="15.75" thickBot="1">
      <c r="B20" s="44" t="s">
        <v>3</v>
      </c>
      <c r="C20" s="43">
        <f>SUM(C8:C19)</f>
        <v>2691.5186404900005</v>
      </c>
      <c r="D20" s="36">
        <f>SUM(D8:D19)</f>
        <v>3286.73780843</v>
      </c>
      <c r="E20" s="36">
        <f aca="true" t="shared" si="0" ref="E20:Q20">SUM(E8:E19)</f>
        <v>4375.14327642</v>
      </c>
      <c r="F20" s="36">
        <f t="shared" si="0"/>
        <v>5433.686573210001</v>
      </c>
      <c r="G20" s="36">
        <f t="shared" si="0"/>
        <v>6598.08099434</v>
      </c>
      <c r="H20" s="36">
        <f t="shared" si="0"/>
        <v>7351.96917498</v>
      </c>
      <c r="I20" s="36">
        <f t="shared" si="0"/>
        <v>7198.82511644</v>
      </c>
      <c r="J20" s="36">
        <f t="shared" si="0"/>
        <v>7743.5009116500005</v>
      </c>
      <c r="K20" s="36">
        <f t="shared" si="0"/>
        <v>10063.289405230002</v>
      </c>
      <c r="L20" s="36">
        <f t="shared" si="0"/>
        <v>10595.32610531</v>
      </c>
      <c r="M20" s="36">
        <f t="shared" si="0"/>
        <v>12775.351058100001</v>
      </c>
      <c r="N20" s="36">
        <f t="shared" si="0"/>
        <v>14206.92669039</v>
      </c>
      <c r="O20" s="36">
        <f t="shared" si="0"/>
        <v>13627.26597956</v>
      </c>
      <c r="P20" s="36">
        <f t="shared" si="0"/>
        <v>16499.12826119</v>
      </c>
      <c r="Q20" s="36">
        <f t="shared" si="0"/>
        <v>16306.92358626</v>
      </c>
      <c r="R20" s="36">
        <f>SUM(R8:R19)</f>
        <v>16236.29495699</v>
      </c>
      <c r="S20" s="36">
        <v>17098.56357693</v>
      </c>
      <c r="T20" s="36">
        <f>SUM(T8:T19)</f>
        <v>16748.98304635</v>
      </c>
      <c r="U20" s="36">
        <f>SUM(U8:U19)</f>
        <v>23287.84533527</v>
      </c>
      <c r="V20" s="36">
        <f>SUM(V8:V19)</f>
        <v>25655.404799500004</v>
      </c>
      <c r="W20" s="58">
        <f>SUM(W8:W19)</f>
        <v>25401.426221939997</v>
      </c>
      <c r="X20" s="12"/>
      <c r="Y20" s="35" t="s">
        <v>3</v>
      </c>
      <c r="Z20" s="43">
        <f>SUM(Z8:Z19)</f>
        <v>2557.5908642800005</v>
      </c>
      <c r="AA20" s="36">
        <f>SUM(AA8:AA19)</f>
        <v>854.8131496400002</v>
      </c>
      <c r="AB20" s="36">
        <f aca="true" t="shared" si="1" ref="AB20:AO20">SUM(AB8:AB19)</f>
        <v>26.28341571</v>
      </c>
      <c r="AC20" s="36">
        <f t="shared" si="1"/>
        <v>14.45714958</v>
      </c>
      <c r="AD20" s="36">
        <f t="shared" si="1"/>
        <v>8.932096909999999</v>
      </c>
      <c r="AE20" s="36">
        <f t="shared" si="1"/>
        <v>10.641867730000001</v>
      </c>
      <c r="AF20" s="36">
        <f t="shared" si="1"/>
        <v>1.8191169599999997</v>
      </c>
      <c r="AG20" s="36">
        <f t="shared" si="1"/>
        <v>1.99062797</v>
      </c>
      <c r="AH20" s="36">
        <f t="shared" si="1"/>
        <v>7.9914838</v>
      </c>
      <c r="AI20" s="36">
        <f t="shared" si="1"/>
        <v>0.34231984</v>
      </c>
      <c r="AJ20" s="36">
        <f t="shared" si="1"/>
        <v>2.6567122</v>
      </c>
      <c r="AK20" s="36">
        <f t="shared" si="1"/>
        <v>2.7148557099999997</v>
      </c>
      <c r="AL20" s="36">
        <f t="shared" si="1"/>
        <v>0.23359742</v>
      </c>
      <c r="AM20" s="36">
        <f t="shared" si="1"/>
        <v>0.95400382</v>
      </c>
      <c r="AN20" s="36">
        <f t="shared" si="1"/>
        <v>6.32082072</v>
      </c>
      <c r="AO20" s="36">
        <f t="shared" si="1"/>
        <v>0.1511322</v>
      </c>
      <c r="AP20" s="36">
        <v>2.1122292700000003</v>
      </c>
      <c r="AQ20" s="36">
        <f>SUM(AQ8:AQ19)</f>
        <v>1.9382655000000002</v>
      </c>
      <c r="AR20" s="36">
        <v>3.3522098600000003</v>
      </c>
      <c r="AS20" s="36">
        <f>SUM(AS8:AS19)</f>
        <v>2.1382149999999998</v>
      </c>
      <c r="AT20" s="58">
        <f>SUM(AT8:AT19)</f>
        <v>0.83148899</v>
      </c>
      <c r="AU20" s="12"/>
      <c r="BH20" s="12"/>
      <c r="BU20" s="17"/>
      <c r="CH20" s="18"/>
    </row>
    <row r="21" spans="2:85" ht="15">
      <c r="B21" s="4" t="s">
        <v>4</v>
      </c>
      <c r="C21" s="4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12"/>
      <c r="Q21" s="12"/>
      <c r="R21" s="12"/>
      <c r="S21" s="12"/>
      <c r="T21" s="12"/>
      <c r="U21" s="12"/>
      <c r="V21" s="12"/>
      <c r="W21" s="12"/>
      <c r="X21" s="4"/>
      <c r="Y21" s="4" t="s">
        <v>4</v>
      </c>
      <c r="Z21" s="4"/>
      <c r="AA21" s="4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12"/>
      <c r="AN21" s="12"/>
      <c r="AO21" s="12"/>
      <c r="AP21" s="12"/>
      <c r="AQ21" s="12"/>
      <c r="AR21" s="12"/>
      <c r="AS21" s="12"/>
      <c r="AT21" s="12"/>
      <c r="BG21" s="12"/>
      <c r="BT21" s="5"/>
      <c r="CG21" s="19"/>
    </row>
    <row r="22" spans="2:85" ht="15">
      <c r="B22" s="73" t="s">
        <v>5</v>
      </c>
      <c r="C22" s="73"/>
      <c r="D22" s="73"/>
      <c r="E22" s="73"/>
      <c r="F22" s="6"/>
      <c r="G22" s="6"/>
      <c r="H22" s="6"/>
      <c r="I22" s="6"/>
      <c r="J22" s="6"/>
      <c r="K22" s="6"/>
      <c r="L22" s="6"/>
      <c r="M22" s="6"/>
      <c r="N22" s="6"/>
      <c r="O22" s="6"/>
      <c r="P22" s="8"/>
      <c r="Q22" s="8"/>
      <c r="R22" s="8"/>
      <c r="S22" s="8"/>
      <c r="T22" s="8"/>
      <c r="U22" s="8"/>
      <c r="V22" s="8"/>
      <c r="W22" s="8"/>
      <c r="X22" s="50"/>
      <c r="Y22" s="50" t="s">
        <v>5</v>
      </c>
      <c r="Z22" s="50"/>
      <c r="AA22" s="50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8"/>
      <c r="AN22" s="8"/>
      <c r="AO22" s="8"/>
      <c r="AP22" s="8"/>
      <c r="AQ22" s="8"/>
      <c r="AR22" s="8"/>
      <c r="AS22" s="8"/>
      <c r="AT22" s="8"/>
      <c r="BG22" s="8"/>
      <c r="BT22" s="6"/>
      <c r="CG22" s="20"/>
    </row>
    <row r="23" spans="2:85" ht="15">
      <c r="B23" s="2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8"/>
      <c r="Q23" s="8"/>
      <c r="R23" s="8"/>
      <c r="S23" s="8"/>
      <c r="T23" s="8"/>
      <c r="U23" s="8"/>
      <c r="V23" s="8"/>
      <c r="W23" s="8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8"/>
      <c r="AN23" s="8"/>
      <c r="AO23" s="8"/>
      <c r="AP23" s="8"/>
      <c r="AQ23" s="8"/>
      <c r="AR23" s="8"/>
      <c r="AS23" s="8"/>
      <c r="AT23" s="8"/>
      <c r="BG23" s="8"/>
      <c r="BH23" s="22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23"/>
    </row>
    <row r="24" spans="2:85" ht="15.75" customHeight="1">
      <c r="B24" s="75" t="s">
        <v>7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49"/>
      <c r="Y24" s="75" t="s">
        <v>9</v>
      </c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22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8"/>
      <c r="BH24" s="22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23"/>
    </row>
    <row r="25" spans="2:85" ht="15">
      <c r="B25" s="72" t="s">
        <v>39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Y25" s="72" t="s">
        <v>39</v>
      </c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22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8"/>
      <c r="BH25" s="22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23"/>
    </row>
    <row r="26" spans="2:85" ht="15.75" thickBot="1">
      <c r="B26" s="71" t="s">
        <v>1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Y26" s="71" t="s">
        <v>1</v>
      </c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22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8"/>
      <c r="BH26" s="22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23"/>
    </row>
    <row r="27" spans="2:86" ht="33" customHeight="1" thickBot="1">
      <c r="B27" s="33" t="s">
        <v>2</v>
      </c>
      <c r="C27" s="41">
        <v>2003</v>
      </c>
      <c r="D27" s="34">
        <v>2004</v>
      </c>
      <c r="E27" s="34">
        <v>2005</v>
      </c>
      <c r="F27" s="34">
        <v>2006</v>
      </c>
      <c r="G27" s="34">
        <v>2007</v>
      </c>
      <c r="H27" s="34">
        <v>2008</v>
      </c>
      <c r="I27" s="34">
        <v>2009</v>
      </c>
      <c r="J27" s="34">
        <v>2010</v>
      </c>
      <c r="K27" s="34">
        <v>2011</v>
      </c>
      <c r="L27" s="34">
        <v>2012</v>
      </c>
      <c r="M27" s="34">
        <v>2013</v>
      </c>
      <c r="N27" s="34">
        <v>2014</v>
      </c>
      <c r="O27" s="34">
        <v>2015</v>
      </c>
      <c r="P27" s="34">
        <v>2016</v>
      </c>
      <c r="Q27" s="34">
        <v>2017</v>
      </c>
      <c r="R27" s="34">
        <v>2018</v>
      </c>
      <c r="S27" s="34">
        <v>2019</v>
      </c>
      <c r="T27" s="34">
        <v>2020</v>
      </c>
      <c r="U27" s="34">
        <v>2021</v>
      </c>
      <c r="V27" s="34">
        <v>2022</v>
      </c>
      <c r="W27" s="55">
        <v>2023</v>
      </c>
      <c r="X27" s="8"/>
      <c r="Y27" s="33" t="s">
        <v>2</v>
      </c>
      <c r="Z27" s="41">
        <v>2003</v>
      </c>
      <c r="AA27" s="34">
        <v>2004</v>
      </c>
      <c r="AB27" s="34">
        <v>2005</v>
      </c>
      <c r="AC27" s="34">
        <v>2006</v>
      </c>
      <c r="AD27" s="34">
        <v>2007</v>
      </c>
      <c r="AE27" s="34">
        <v>2008</v>
      </c>
      <c r="AF27" s="34">
        <v>2009</v>
      </c>
      <c r="AG27" s="34">
        <v>2010</v>
      </c>
      <c r="AH27" s="34">
        <v>2011</v>
      </c>
      <c r="AI27" s="34">
        <v>2012</v>
      </c>
      <c r="AJ27" s="34">
        <v>2013</v>
      </c>
      <c r="AK27" s="34">
        <v>2014</v>
      </c>
      <c r="AL27" s="34">
        <v>2015</v>
      </c>
      <c r="AM27" s="34">
        <v>2016</v>
      </c>
      <c r="AN27" s="34">
        <v>2017</v>
      </c>
      <c r="AO27" s="34">
        <v>2018</v>
      </c>
      <c r="AP27" s="34">
        <v>2019</v>
      </c>
      <c r="AQ27" s="34">
        <v>2020</v>
      </c>
      <c r="AR27" s="34">
        <v>2021</v>
      </c>
      <c r="AS27" s="34">
        <v>2022</v>
      </c>
      <c r="AT27" s="55">
        <v>2023</v>
      </c>
      <c r="AU27" s="8"/>
      <c r="AV27" s="22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8"/>
      <c r="BI27" s="22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23"/>
    </row>
    <row r="28" spans="2:86" ht="4.5" customHeight="1"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66"/>
      <c r="W28" s="63"/>
      <c r="X28" s="8"/>
      <c r="Y28" s="46"/>
      <c r="Z28" s="47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56"/>
      <c r="AU28" s="8"/>
      <c r="AV28" s="22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8"/>
      <c r="BI28" s="22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23"/>
    </row>
    <row r="29" spans="2:86" ht="15">
      <c r="B29" s="37" t="s">
        <v>27</v>
      </c>
      <c r="C29" s="60">
        <v>1.8028814199999998</v>
      </c>
      <c r="D29" s="39">
        <v>1.03215097</v>
      </c>
      <c r="E29" s="39">
        <v>0.83803275</v>
      </c>
      <c r="F29" s="39">
        <v>1.0835001000000002</v>
      </c>
      <c r="G29" s="39">
        <v>0.6484916700000001</v>
      </c>
      <c r="H29" s="39">
        <v>0.57907516</v>
      </c>
      <c r="I29" s="39">
        <v>0.7148593500000001</v>
      </c>
      <c r="J29" s="39">
        <v>0.9805589100000001</v>
      </c>
      <c r="K29" s="39">
        <v>0.80200906</v>
      </c>
      <c r="L29" s="39">
        <v>0.8390550999999999</v>
      </c>
      <c r="M29" s="39">
        <v>1.14365223</v>
      </c>
      <c r="N29" s="39">
        <v>0.9215494599999999</v>
      </c>
      <c r="O29" s="39">
        <v>0.90308051</v>
      </c>
      <c r="P29" s="39">
        <v>2.1280773500000003</v>
      </c>
      <c r="Q29" s="39">
        <v>1.79393709</v>
      </c>
      <c r="R29" s="39">
        <v>1.44703851</v>
      </c>
      <c r="S29" s="39">
        <v>3.17346124</v>
      </c>
      <c r="T29" s="39">
        <v>2.45332635</v>
      </c>
      <c r="U29" s="39">
        <v>1.90608399</v>
      </c>
      <c r="V29" s="39">
        <v>3.8091626</v>
      </c>
      <c r="W29" s="59">
        <v>1.7680161699999999</v>
      </c>
      <c r="X29" s="8"/>
      <c r="Y29" s="37" t="s">
        <v>27</v>
      </c>
      <c r="Z29" s="60">
        <v>0</v>
      </c>
      <c r="AA29" s="39">
        <v>0</v>
      </c>
      <c r="AB29" s="39">
        <v>16.07436101</v>
      </c>
      <c r="AC29" s="39">
        <v>517.02963894</v>
      </c>
      <c r="AD29" s="39">
        <v>453.72847443</v>
      </c>
      <c r="AE29" s="39">
        <v>511.181703</v>
      </c>
      <c r="AF29" s="39">
        <v>568.60050112</v>
      </c>
      <c r="AG29" s="39">
        <v>3.04796695</v>
      </c>
      <c r="AH29" s="39">
        <v>1.78021118</v>
      </c>
      <c r="AI29" s="39">
        <v>0.37031087</v>
      </c>
      <c r="AJ29" s="39">
        <v>0.16569795</v>
      </c>
      <c r="AK29" s="39">
        <v>0.14721201</v>
      </c>
      <c r="AL29" s="39">
        <v>0.017626799999999998</v>
      </c>
      <c r="AM29" s="39">
        <v>0.18198396</v>
      </c>
      <c r="AN29" s="39">
        <v>7.67834849</v>
      </c>
      <c r="AO29" s="39">
        <v>0.87246902</v>
      </c>
      <c r="AP29" s="39">
        <v>0.06454027</v>
      </c>
      <c r="AQ29" s="39">
        <v>0.42586694</v>
      </c>
      <c r="AR29" s="39">
        <v>0</v>
      </c>
      <c r="AS29" s="39">
        <v>0</v>
      </c>
      <c r="AT29" s="59">
        <v>3.631696</v>
      </c>
      <c r="AU29" s="8"/>
      <c r="AV29" s="22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8"/>
      <c r="BI29" s="22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23"/>
    </row>
    <row r="30" spans="2:86" ht="15">
      <c r="B30" s="37" t="s">
        <v>28</v>
      </c>
      <c r="C30" s="60">
        <v>0.27682243</v>
      </c>
      <c r="D30" s="39">
        <v>0.26545294</v>
      </c>
      <c r="E30" s="39">
        <v>0.41888363</v>
      </c>
      <c r="F30" s="39">
        <v>0.82841425</v>
      </c>
      <c r="G30" s="39">
        <v>0.6298910999999999</v>
      </c>
      <c r="H30" s="39">
        <v>0.93725927</v>
      </c>
      <c r="I30" s="39">
        <v>0.81171775</v>
      </c>
      <c r="J30" s="39">
        <v>0.88260514</v>
      </c>
      <c r="K30" s="39">
        <v>0.7552399000000001</v>
      </c>
      <c r="L30" s="39">
        <v>0.7833946700000001</v>
      </c>
      <c r="M30" s="39">
        <v>0.49658826999999994</v>
      </c>
      <c r="N30" s="39">
        <v>1.10669996</v>
      </c>
      <c r="O30" s="39">
        <v>1.3551965700000002</v>
      </c>
      <c r="P30" s="39">
        <v>1.00472691</v>
      </c>
      <c r="Q30" s="39">
        <v>1.7662438699999998</v>
      </c>
      <c r="R30" s="39">
        <v>1.6776386799999998</v>
      </c>
      <c r="S30" s="39">
        <v>1.92208901</v>
      </c>
      <c r="T30" s="39">
        <v>1.03173581</v>
      </c>
      <c r="U30" s="39">
        <v>3.04151185</v>
      </c>
      <c r="V30" s="3">
        <v>3.26542177</v>
      </c>
      <c r="W30" s="57">
        <v>3.35460727</v>
      </c>
      <c r="X30" s="8"/>
      <c r="Y30" s="37" t="s">
        <v>28</v>
      </c>
      <c r="Z30" s="60">
        <v>0</v>
      </c>
      <c r="AA30" s="39">
        <v>0</v>
      </c>
      <c r="AB30" s="39">
        <v>1.0948090400000001</v>
      </c>
      <c r="AC30" s="39">
        <v>19.72713874</v>
      </c>
      <c r="AD30" s="39">
        <v>14.69636197</v>
      </c>
      <c r="AE30" s="39">
        <v>17.9970912</v>
      </c>
      <c r="AF30" s="39">
        <v>22.69738586</v>
      </c>
      <c r="AG30" s="39">
        <v>3.22591877</v>
      </c>
      <c r="AH30" s="39">
        <v>1.9128361299999999</v>
      </c>
      <c r="AI30" s="39">
        <v>0.52336817</v>
      </c>
      <c r="AJ30" s="39">
        <v>0.48012858</v>
      </c>
      <c r="AK30" s="39">
        <v>0.01098492</v>
      </c>
      <c r="AL30" s="39">
        <v>0.004961439999999999</v>
      </c>
      <c r="AM30" s="39">
        <v>0.0233565</v>
      </c>
      <c r="AN30" s="39">
        <v>0.03566183999999999</v>
      </c>
      <c r="AO30" s="39">
        <v>0.90182406</v>
      </c>
      <c r="AP30" s="39">
        <v>0.02510626</v>
      </c>
      <c r="AQ30" s="39">
        <v>0</v>
      </c>
      <c r="AR30" s="39">
        <v>2.27938921</v>
      </c>
      <c r="AS30" s="3">
        <v>1.80430377</v>
      </c>
      <c r="AT30" s="57">
        <v>0.9253453100000001</v>
      </c>
      <c r="AU30" s="8"/>
      <c r="AV30" s="22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8"/>
      <c r="BI30" s="22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23"/>
    </row>
    <row r="31" spans="2:86" ht="15">
      <c r="B31" s="37" t="s">
        <v>29</v>
      </c>
      <c r="C31" s="60">
        <v>1.05456753</v>
      </c>
      <c r="D31" s="39">
        <v>0.89341173</v>
      </c>
      <c r="E31" s="39">
        <v>0.41880290000000003</v>
      </c>
      <c r="F31" s="39">
        <v>0.78194262</v>
      </c>
      <c r="G31" s="39">
        <v>0.38766425</v>
      </c>
      <c r="H31" s="39">
        <v>0.52900791</v>
      </c>
      <c r="I31" s="39">
        <v>0.59661019</v>
      </c>
      <c r="J31" s="39">
        <v>1.82115549</v>
      </c>
      <c r="K31" s="39">
        <v>0.9584021500000001</v>
      </c>
      <c r="L31" s="39">
        <v>0.75329579</v>
      </c>
      <c r="M31" s="39">
        <v>0.45141613</v>
      </c>
      <c r="N31" s="39">
        <v>0.9014345199999999</v>
      </c>
      <c r="O31" s="39">
        <v>1.29100119</v>
      </c>
      <c r="P31" s="39">
        <v>0.62063231</v>
      </c>
      <c r="Q31" s="39">
        <v>5.82156854</v>
      </c>
      <c r="R31" s="39">
        <v>2.10847027</v>
      </c>
      <c r="S31" s="39">
        <v>4.13121076</v>
      </c>
      <c r="T31" s="39">
        <v>1.96737019</v>
      </c>
      <c r="U31" s="39">
        <v>1.48959011</v>
      </c>
      <c r="V31" s="3">
        <v>3.70736371</v>
      </c>
      <c r="W31" s="57">
        <v>2.3243508999999998</v>
      </c>
      <c r="X31" s="8"/>
      <c r="Y31" s="37" t="s">
        <v>29</v>
      </c>
      <c r="Z31" s="60">
        <v>0</v>
      </c>
      <c r="AA31" s="39">
        <v>0</v>
      </c>
      <c r="AB31" s="39">
        <v>1.96415257</v>
      </c>
      <c r="AC31" s="39">
        <v>7.993195310000001</v>
      </c>
      <c r="AD31" s="39">
        <v>8.46520816</v>
      </c>
      <c r="AE31" s="39">
        <v>10.39175916</v>
      </c>
      <c r="AF31" s="39">
        <v>13.228149929999999</v>
      </c>
      <c r="AG31" s="39">
        <v>5.1166355</v>
      </c>
      <c r="AH31" s="39">
        <v>17.89016147</v>
      </c>
      <c r="AI31" s="39">
        <v>0.4895076</v>
      </c>
      <c r="AJ31" s="39">
        <v>0.07915259</v>
      </c>
      <c r="AK31" s="39">
        <v>0.0120605</v>
      </c>
      <c r="AL31" s="39">
        <v>0.00777849</v>
      </c>
      <c r="AM31" s="39">
        <v>0.016755799999999998</v>
      </c>
      <c r="AN31" s="39">
        <v>0.45068319</v>
      </c>
      <c r="AO31" s="39">
        <v>0.73420371</v>
      </c>
      <c r="AP31" s="39">
        <v>0.00968465</v>
      </c>
      <c r="AQ31" s="39">
        <v>0</v>
      </c>
      <c r="AR31" s="39">
        <v>0.018165</v>
      </c>
      <c r="AS31" s="3">
        <v>0</v>
      </c>
      <c r="AT31" s="57">
        <v>0.020224680000000002</v>
      </c>
      <c r="AU31" s="8"/>
      <c r="AV31" s="22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8"/>
      <c r="BI31" s="22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23"/>
    </row>
    <row r="32" spans="2:86" ht="15">
      <c r="B32" s="37" t="s">
        <v>30</v>
      </c>
      <c r="C32" s="60">
        <v>0.58073761</v>
      </c>
      <c r="D32" s="39">
        <v>0.4371914</v>
      </c>
      <c r="E32" s="39">
        <v>0.6122131799999999</v>
      </c>
      <c r="F32" s="39">
        <v>0.8819503200000001</v>
      </c>
      <c r="G32" s="39">
        <v>0.99057583</v>
      </c>
      <c r="H32" s="39">
        <v>0.8456337700000001</v>
      </c>
      <c r="I32" s="39">
        <v>0.8037746000000001</v>
      </c>
      <c r="J32" s="39">
        <v>0.78986718</v>
      </c>
      <c r="K32" s="39">
        <v>1.84506405</v>
      </c>
      <c r="L32" s="39">
        <v>0.77194537</v>
      </c>
      <c r="M32" s="39">
        <v>0.67283648</v>
      </c>
      <c r="N32" s="39">
        <v>0.93589925</v>
      </c>
      <c r="O32" s="39">
        <v>1.5946803500000002</v>
      </c>
      <c r="P32" s="39">
        <v>2.34976352</v>
      </c>
      <c r="Q32" s="39">
        <v>3.2592908599999997</v>
      </c>
      <c r="R32" s="39">
        <v>3.32254898</v>
      </c>
      <c r="S32" s="39">
        <v>2.15182335</v>
      </c>
      <c r="T32" s="39">
        <v>0.11019395</v>
      </c>
      <c r="U32" s="39">
        <v>1.4023147200000001</v>
      </c>
      <c r="V32" s="3">
        <v>1.94575845</v>
      </c>
      <c r="W32" s="57">
        <v>1.42652679</v>
      </c>
      <c r="X32" s="8"/>
      <c r="Y32" s="37" t="s">
        <v>30</v>
      </c>
      <c r="Z32" s="60">
        <v>0</v>
      </c>
      <c r="AA32" s="39">
        <v>0</v>
      </c>
      <c r="AB32" s="39">
        <v>527.46444609</v>
      </c>
      <c r="AC32" s="39">
        <v>543.82625699</v>
      </c>
      <c r="AD32" s="39">
        <v>483.49915844</v>
      </c>
      <c r="AE32" s="39">
        <v>567.92583215</v>
      </c>
      <c r="AF32" s="39">
        <v>14.502941550000001</v>
      </c>
      <c r="AG32" s="39">
        <v>3.83837708</v>
      </c>
      <c r="AH32" s="39">
        <v>14.511201400000001</v>
      </c>
      <c r="AI32" s="39">
        <v>0.4987148</v>
      </c>
      <c r="AJ32" s="39">
        <v>0.27470925</v>
      </c>
      <c r="AK32" s="39">
        <v>0.01045179</v>
      </c>
      <c r="AL32" s="39">
        <v>0.6617759</v>
      </c>
      <c r="AM32" s="39">
        <v>0.0108398</v>
      </c>
      <c r="AN32" s="39">
        <v>0.011089</v>
      </c>
      <c r="AO32" s="39">
        <v>1.02557984</v>
      </c>
      <c r="AP32" s="39">
        <v>0</v>
      </c>
      <c r="AQ32" s="39">
        <v>0</v>
      </c>
      <c r="AR32" s="39">
        <v>2.7075717999999998</v>
      </c>
      <c r="AS32" s="3">
        <v>0</v>
      </c>
      <c r="AT32" s="57">
        <v>0</v>
      </c>
      <c r="AU32" s="8"/>
      <c r="AV32" s="22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8"/>
      <c r="BI32" s="22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23"/>
    </row>
    <row r="33" spans="2:86" ht="15">
      <c r="B33" s="37" t="s">
        <v>31</v>
      </c>
      <c r="C33" s="60">
        <v>0.41330083999999995</v>
      </c>
      <c r="D33" s="39">
        <v>0.46193555</v>
      </c>
      <c r="E33" s="39">
        <v>0.77523306</v>
      </c>
      <c r="F33" s="39">
        <v>0.59892653</v>
      </c>
      <c r="G33" s="39">
        <v>0.62578679</v>
      </c>
      <c r="H33" s="39">
        <v>3.55697634</v>
      </c>
      <c r="I33" s="39">
        <v>0.79724738</v>
      </c>
      <c r="J33" s="39">
        <v>0.76241055</v>
      </c>
      <c r="K33" s="39">
        <v>1.8701058899999998</v>
      </c>
      <c r="L33" s="39">
        <v>0.79298152</v>
      </c>
      <c r="M33" s="39">
        <v>2.2555619900000003</v>
      </c>
      <c r="N33" s="39">
        <v>1.8609832800000001</v>
      </c>
      <c r="O33" s="39">
        <v>1.48962669</v>
      </c>
      <c r="P33" s="39">
        <v>2.31447333</v>
      </c>
      <c r="Q33" s="39">
        <v>2.79039974</v>
      </c>
      <c r="R33" s="39">
        <v>2.58155037</v>
      </c>
      <c r="S33" s="39">
        <v>2.67724219</v>
      </c>
      <c r="T33" s="39">
        <v>0.13416055999999998</v>
      </c>
      <c r="U33" s="39">
        <v>1.13990131</v>
      </c>
      <c r="V33" s="3">
        <v>1.82478923</v>
      </c>
      <c r="W33" s="57">
        <v>3.8071743199999997</v>
      </c>
      <c r="X33" s="8"/>
      <c r="Y33" s="37" t="s">
        <v>31</v>
      </c>
      <c r="Z33" s="60">
        <v>0</v>
      </c>
      <c r="AA33" s="39">
        <v>0</v>
      </c>
      <c r="AB33" s="39">
        <v>9.72854279</v>
      </c>
      <c r="AC33" s="39">
        <v>22.85069808</v>
      </c>
      <c r="AD33" s="39">
        <v>24.30236293</v>
      </c>
      <c r="AE33" s="39">
        <v>18.40595106</v>
      </c>
      <c r="AF33" s="39">
        <v>8.118430870000001</v>
      </c>
      <c r="AG33" s="39">
        <v>3.22393557</v>
      </c>
      <c r="AH33" s="39">
        <v>3.25278638</v>
      </c>
      <c r="AI33" s="39">
        <v>0.33003383000000003</v>
      </c>
      <c r="AJ33" s="39">
        <v>0.07205717</v>
      </c>
      <c r="AK33" s="39">
        <v>0.17298087</v>
      </c>
      <c r="AL33" s="39">
        <v>0.00196051</v>
      </c>
      <c r="AM33" s="39">
        <v>0.09459586</v>
      </c>
      <c r="AN33" s="39">
        <v>0.15620479</v>
      </c>
      <c r="AO33" s="39">
        <v>0.9010158</v>
      </c>
      <c r="AP33" s="39">
        <v>3.06826197</v>
      </c>
      <c r="AQ33" s="39">
        <v>0</v>
      </c>
      <c r="AR33" s="39">
        <v>2.8687477400000003</v>
      </c>
      <c r="AS33" s="3">
        <v>0</v>
      </c>
      <c r="AT33" s="57">
        <v>0.29882369</v>
      </c>
      <c r="AU33" s="8"/>
      <c r="AV33" s="22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8"/>
      <c r="BI33" s="22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23"/>
    </row>
    <row r="34" spans="2:86" ht="15">
      <c r="B34" s="37" t="s">
        <v>32</v>
      </c>
      <c r="C34" s="60">
        <v>0.55034533</v>
      </c>
      <c r="D34" s="39">
        <v>1.2562868200000001</v>
      </c>
      <c r="E34" s="39">
        <v>0.8341871100000001</v>
      </c>
      <c r="F34" s="39">
        <v>0.80768311</v>
      </c>
      <c r="G34" s="39">
        <v>1.5032568599999998</v>
      </c>
      <c r="H34" s="39">
        <v>0.8379532799999999</v>
      </c>
      <c r="I34" s="39">
        <v>0.9518519</v>
      </c>
      <c r="J34" s="39">
        <v>0.7936588500000001</v>
      </c>
      <c r="K34" s="39">
        <v>1.37901808</v>
      </c>
      <c r="L34" s="39">
        <v>0.6638299799999999</v>
      </c>
      <c r="M34" s="39">
        <v>0.72354211</v>
      </c>
      <c r="N34" s="39">
        <v>1.6852399300000003</v>
      </c>
      <c r="O34" s="39">
        <v>2.14144404</v>
      </c>
      <c r="P34" s="39">
        <v>2.3289318100000003</v>
      </c>
      <c r="Q34" s="39">
        <v>3.1150088599999997</v>
      </c>
      <c r="R34" s="39">
        <v>2.31815076</v>
      </c>
      <c r="S34" s="39">
        <v>2.02208298</v>
      </c>
      <c r="T34" s="39">
        <v>0.33195194</v>
      </c>
      <c r="U34" s="39">
        <v>1.7799268499999998</v>
      </c>
      <c r="V34" s="3">
        <v>2.88416167</v>
      </c>
      <c r="W34" s="57">
        <v>3.00667535</v>
      </c>
      <c r="X34" s="8"/>
      <c r="Y34" s="37" t="s">
        <v>32</v>
      </c>
      <c r="Z34" s="60">
        <v>0</v>
      </c>
      <c r="AA34" s="39">
        <v>0</v>
      </c>
      <c r="AB34" s="39">
        <v>3.92073522</v>
      </c>
      <c r="AC34" s="39">
        <v>7.979635480000001</v>
      </c>
      <c r="AD34" s="39">
        <v>8.174146030000001</v>
      </c>
      <c r="AE34" s="39">
        <v>7.22751764</v>
      </c>
      <c r="AF34" s="39">
        <v>7.12008696</v>
      </c>
      <c r="AG34" s="39">
        <v>4.25639221</v>
      </c>
      <c r="AH34" s="39">
        <v>7.4737683</v>
      </c>
      <c r="AI34" s="39">
        <v>0.16842573000000002</v>
      </c>
      <c r="AJ34" s="39">
        <v>0.12132119</v>
      </c>
      <c r="AK34" s="39">
        <v>0.73415428</v>
      </c>
      <c r="AL34" s="39">
        <v>0.011375620000000001</v>
      </c>
      <c r="AM34" s="39">
        <v>0.16847834</v>
      </c>
      <c r="AN34" s="39">
        <v>8.875939</v>
      </c>
      <c r="AO34" s="39">
        <v>0.9582367900000001</v>
      </c>
      <c r="AP34" s="39">
        <v>0.17830356</v>
      </c>
      <c r="AQ34" s="39">
        <v>0</v>
      </c>
      <c r="AR34" s="39">
        <v>0</v>
      </c>
      <c r="AS34" s="3">
        <v>0.0568471</v>
      </c>
      <c r="AT34" s="57">
        <v>0.0073802</v>
      </c>
      <c r="AU34" s="8"/>
      <c r="AV34" s="22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8"/>
      <c r="BI34" s="22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23"/>
    </row>
    <row r="35" spans="2:86" ht="15">
      <c r="B35" s="37" t="s">
        <v>33</v>
      </c>
      <c r="C35" s="60">
        <v>0.6525974800000001</v>
      </c>
      <c r="D35" s="39">
        <v>0.6715071699999999</v>
      </c>
      <c r="E35" s="39">
        <v>0.98682421</v>
      </c>
      <c r="F35" s="39">
        <v>1.3501945800000001</v>
      </c>
      <c r="G35" s="39">
        <v>3.0397152699999994</v>
      </c>
      <c r="H35" s="39">
        <v>1.22000427</v>
      </c>
      <c r="I35" s="39">
        <v>1.3457986600000003</v>
      </c>
      <c r="J35" s="39">
        <v>1.24798945</v>
      </c>
      <c r="K35" s="39">
        <v>2.71581473</v>
      </c>
      <c r="L35" s="39">
        <v>0.80507523</v>
      </c>
      <c r="M35" s="39">
        <v>1.08364729</v>
      </c>
      <c r="N35" s="39">
        <v>1.78333443</v>
      </c>
      <c r="O35" s="39">
        <v>1.8135289099999998</v>
      </c>
      <c r="P35" s="39">
        <v>1.90325401</v>
      </c>
      <c r="Q35" s="39">
        <v>1.91860253</v>
      </c>
      <c r="R35" s="39">
        <v>2.06880862</v>
      </c>
      <c r="S35" s="39">
        <v>12.693678550000001</v>
      </c>
      <c r="T35" s="39">
        <v>0.45111919</v>
      </c>
      <c r="U35" s="39">
        <v>3.80156942</v>
      </c>
      <c r="V35" s="3">
        <v>2.5151248500000003</v>
      </c>
      <c r="W35" s="57">
        <v>3.09773169</v>
      </c>
      <c r="X35" s="8"/>
      <c r="Y35" s="37" t="s">
        <v>33</v>
      </c>
      <c r="Z35" s="60">
        <v>0</v>
      </c>
      <c r="AA35" s="39">
        <v>0</v>
      </c>
      <c r="AB35" s="39">
        <v>506.57388745</v>
      </c>
      <c r="AC35" s="39">
        <v>546.3573970900001</v>
      </c>
      <c r="AD35" s="39">
        <v>493.48033823000003</v>
      </c>
      <c r="AE35" s="39">
        <v>562.74407915</v>
      </c>
      <c r="AF35" s="39">
        <v>7.0474816</v>
      </c>
      <c r="AG35" s="39">
        <v>2.6628526800000003</v>
      </c>
      <c r="AH35" s="39">
        <v>1.3193638</v>
      </c>
      <c r="AI35" s="39">
        <v>0.15291387</v>
      </c>
      <c r="AJ35" s="39">
        <v>3.1770959199999997</v>
      </c>
      <c r="AK35" s="39">
        <v>4.55744825</v>
      </c>
      <c r="AL35" s="39">
        <v>0.07932613000000001</v>
      </c>
      <c r="AM35" s="39">
        <v>0.28895029</v>
      </c>
      <c r="AN35" s="39">
        <v>5.1355521699999995</v>
      </c>
      <c r="AO35" s="39">
        <v>0.89058723</v>
      </c>
      <c r="AP35" s="39">
        <v>1.1169263200000001</v>
      </c>
      <c r="AQ35" s="39">
        <v>0</v>
      </c>
      <c r="AR35" s="39">
        <v>0</v>
      </c>
      <c r="AS35" s="3">
        <v>0</v>
      </c>
      <c r="AT35" s="57">
        <v>0.31564242</v>
      </c>
      <c r="AU35" s="8"/>
      <c r="AV35" s="22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8"/>
      <c r="BI35" s="22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23"/>
    </row>
    <row r="36" spans="2:86" ht="15">
      <c r="B36" s="37" t="s">
        <v>34</v>
      </c>
      <c r="C36" s="60">
        <v>0.80618887</v>
      </c>
      <c r="D36" s="39">
        <v>0.87112185</v>
      </c>
      <c r="E36" s="39">
        <v>1.03257992</v>
      </c>
      <c r="F36" s="39">
        <v>0.5142374000000001</v>
      </c>
      <c r="G36" s="39">
        <v>1.06348176</v>
      </c>
      <c r="H36" s="39">
        <v>3.81578904</v>
      </c>
      <c r="I36" s="39">
        <v>0.6345694500000001</v>
      </c>
      <c r="J36" s="39">
        <v>0.63368976</v>
      </c>
      <c r="K36" s="39">
        <v>0.89097974</v>
      </c>
      <c r="L36" s="39">
        <v>1.3191781999999999</v>
      </c>
      <c r="M36" s="39">
        <v>0.5764683199999999</v>
      </c>
      <c r="N36" s="39">
        <v>1.27326598</v>
      </c>
      <c r="O36" s="39">
        <v>1.70967005</v>
      </c>
      <c r="P36" s="39">
        <v>1.96941481</v>
      </c>
      <c r="Q36" s="39">
        <v>2.14157649</v>
      </c>
      <c r="R36" s="39">
        <v>2.6571576400000003</v>
      </c>
      <c r="S36" s="39">
        <v>2.71105833</v>
      </c>
      <c r="T36" s="39">
        <v>0.31513325</v>
      </c>
      <c r="U36" s="39">
        <v>1.53792591</v>
      </c>
      <c r="V36" s="3">
        <v>3.37502801</v>
      </c>
      <c r="W36" s="57">
        <v>1.62688359</v>
      </c>
      <c r="X36" s="8"/>
      <c r="Y36" s="37" t="s">
        <v>34</v>
      </c>
      <c r="Z36" s="60">
        <v>0</v>
      </c>
      <c r="AA36" s="39">
        <v>9.55E-06</v>
      </c>
      <c r="AB36" s="39">
        <v>28.21879076</v>
      </c>
      <c r="AC36" s="39">
        <v>37.87711211</v>
      </c>
      <c r="AD36" s="39">
        <v>18.724908199999998</v>
      </c>
      <c r="AE36" s="39">
        <v>20.455861990000002</v>
      </c>
      <c r="AF36" s="39">
        <v>7.06583856</v>
      </c>
      <c r="AG36" s="39">
        <v>3.6715314599999997</v>
      </c>
      <c r="AH36" s="39">
        <v>3.83986704</v>
      </c>
      <c r="AI36" s="39">
        <v>0.27127868</v>
      </c>
      <c r="AJ36" s="39">
        <v>8.16604179</v>
      </c>
      <c r="AK36" s="39">
        <v>0.9465157</v>
      </c>
      <c r="AL36" s="39">
        <v>0.18364598000000001</v>
      </c>
      <c r="AM36" s="39">
        <v>0.11897564999999999</v>
      </c>
      <c r="AN36" s="39">
        <v>1.13461866</v>
      </c>
      <c r="AO36" s="39">
        <v>0.87280285</v>
      </c>
      <c r="AP36" s="39">
        <v>0</v>
      </c>
      <c r="AQ36" s="39">
        <v>0</v>
      </c>
      <c r="AR36" s="39">
        <v>0.12641722</v>
      </c>
      <c r="AS36" s="3">
        <v>3.65868064</v>
      </c>
      <c r="AT36" s="57">
        <v>1.01353651</v>
      </c>
      <c r="AU36" s="8"/>
      <c r="AV36" s="22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8"/>
      <c r="BI36" s="22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23"/>
    </row>
    <row r="37" spans="2:86" ht="15">
      <c r="B37" s="37" t="s">
        <v>35</v>
      </c>
      <c r="C37" s="60">
        <v>0.71219981</v>
      </c>
      <c r="D37" s="39">
        <v>0.6115025</v>
      </c>
      <c r="E37" s="39">
        <v>0.35518403000000004</v>
      </c>
      <c r="F37" s="39">
        <v>0.69335222</v>
      </c>
      <c r="G37" s="39">
        <v>2.8387313899999995</v>
      </c>
      <c r="H37" s="39">
        <v>0.98437036</v>
      </c>
      <c r="I37" s="39">
        <v>0.74201739</v>
      </c>
      <c r="J37" s="39">
        <v>0.7019730799999999</v>
      </c>
      <c r="K37" s="39">
        <v>0.6378706199999999</v>
      </c>
      <c r="L37" s="39">
        <v>0.34575076</v>
      </c>
      <c r="M37" s="39">
        <v>1.30954749</v>
      </c>
      <c r="N37" s="39">
        <v>1.9526452</v>
      </c>
      <c r="O37" s="39">
        <v>1.48200358</v>
      </c>
      <c r="P37" s="39">
        <v>2.05955414</v>
      </c>
      <c r="Q37" s="39">
        <v>2.65294126</v>
      </c>
      <c r="R37" s="39">
        <v>2.63072591</v>
      </c>
      <c r="S37" s="39">
        <v>2.22695244</v>
      </c>
      <c r="T37" s="39">
        <v>1.11247006</v>
      </c>
      <c r="U37" s="39">
        <v>1.83115279</v>
      </c>
      <c r="V37" s="3">
        <v>6.5718947199999995</v>
      </c>
      <c r="W37" s="57">
        <v>6.9367328100000005</v>
      </c>
      <c r="X37" s="8"/>
      <c r="Y37" s="37" t="s">
        <v>35</v>
      </c>
      <c r="Z37" s="60">
        <v>0</v>
      </c>
      <c r="AA37" s="39">
        <v>603.40984847</v>
      </c>
      <c r="AB37" s="39">
        <v>5.16042675</v>
      </c>
      <c r="AC37" s="39">
        <v>12.926382530000001</v>
      </c>
      <c r="AD37" s="39">
        <v>10.763074620000001</v>
      </c>
      <c r="AE37" s="39">
        <v>10.55190589</v>
      </c>
      <c r="AF37" s="39">
        <v>4.54838851</v>
      </c>
      <c r="AG37" s="39">
        <v>5.14132743</v>
      </c>
      <c r="AH37" s="39">
        <v>0.58133442</v>
      </c>
      <c r="AI37" s="39">
        <v>0.39938111</v>
      </c>
      <c r="AJ37" s="39">
        <v>7.9030492</v>
      </c>
      <c r="AK37" s="39">
        <v>2.63581198</v>
      </c>
      <c r="AL37" s="39">
        <v>0.0035520100000000004</v>
      </c>
      <c r="AM37" s="39">
        <v>0.018319349999999998</v>
      </c>
      <c r="AN37" s="39">
        <v>1.2245545</v>
      </c>
      <c r="AO37" s="39">
        <v>1.00222632</v>
      </c>
      <c r="AP37" s="39">
        <v>1.64085339</v>
      </c>
      <c r="AQ37" s="39">
        <v>2.2371946</v>
      </c>
      <c r="AR37" s="39">
        <v>0</v>
      </c>
      <c r="AS37" s="3">
        <v>4.02429234</v>
      </c>
      <c r="AT37" s="57">
        <v>0.007431</v>
      </c>
      <c r="AU37" s="8"/>
      <c r="AV37" s="22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8"/>
      <c r="BI37" s="22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23"/>
    </row>
    <row r="38" spans="2:86" ht="15">
      <c r="B38" s="37" t="s">
        <v>36</v>
      </c>
      <c r="C38" s="60">
        <v>0.6037240899999999</v>
      </c>
      <c r="D38" s="39">
        <v>0.86862112</v>
      </c>
      <c r="E38" s="39">
        <v>0.8694255</v>
      </c>
      <c r="F38" s="39">
        <v>0.6986971</v>
      </c>
      <c r="G38" s="39">
        <v>0.95900563</v>
      </c>
      <c r="H38" s="39">
        <v>1.04541064</v>
      </c>
      <c r="I38" s="39">
        <v>0.94826226</v>
      </c>
      <c r="J38" s="39">
        <v>0.66325248</v>
      </c>
      <c r="K38" s="39">
        <v>0.86795224</v>
      </c>
      <c r="L38" s="39">
        <v>1.06858712</v>
      </c>
      <c r="M38" s="39">
        <v>1.01310424</v>
      </c>
      <c r="N38" s="39">
        <v>1.2407271299999998</v>
      </c>
      <c r="O38" s="39">
        <v>2.04385183</v>
      </c>
      <c r="P38" s="39">
        <v>1.87519246</v>
      </c>
      <c r="Q38" s="39">
        <v>1.35581601</v>
      </c>
      <c r="R38" s="39">
        <v>2.61462703</v>
      </c>
      <c r="S38" s="39">
        <v>3.764279</v>
      </c>
      <c r="T38" s="39">
        <v>1.76040654</v>
      </c>
      <c r="U38" s="39">
        <v>3.7710989599999998</v>
      </c>
      <c r="V38" s="3">
        <v>2.46853534</v>
      </c>
      <c r="W38" s="57">
        <v>2.778183810000005</v>
      </c>
      <c r="X38" s="8"/>
      <c r="Y38" s="37" t="s">
        <v>36</v>
      </c>
      <c r="Z38" s="60">
        <v>0</v>
      </c>
      <c r="AA38" s="39">
        <v>15.27330106</v>
      </c>
      <c r="AB38" s="39">
        <v>507.04761181</v>
      </c>
      <c r="AC38" s="39">
        <v>447.12003924</v>
      </c>
      <c r="AD38" s="39">
        <v>497.87749446000004</v>
      </c>
      <c r="AE38" s="39">
        <v>566.68868764</v>
      </c>
      <c r="AF38" s="39">
        <v>9.33255043</v>
      </c>
      <c r="AG38" s="39">
        <v>4.963026190000001</v>
      </c>
      <c r="AH38" s="39">
        <v>0.34827285999999996</v>
      </c>
      <c r="AI38" s="39">
        <v>0.16760963</v>
      </c>
      <c r="AJ38" s="39">
        <v>0.06371626</v>
      </c>
      <c r="AK38" s="39">
        <v>0.0071804799999999995</v>
      </c>
      <c r="AL38" s="39">
        <v>0.12135122999999999</v>
      </c>
      <c r="AM38" s="39">
        <v>0.03615628</v>
      </c>
      <c r="AN38" s="39">
        <v>1.1174437</v>
      </c>
      <c r="AO38" s="39">
        <v>1.01085993</v>
      </c>
      <c r="AP38" s="39">
        <v>0.19393044</v>
      </c>
      <c r="AQ38" s="39">
        <v>0.00316258</v>
      </c>
      <c r="AR38" s="39">
        <v>0.9047917600000001</v>
      </c>
      <c r="AS38" s="3">
        <v>1.14284131</v>
      </c>
      <c r="AT38" s="57">
        <v>0</v>
      </c>
      <c r="AU38" s="8"/>
      <c r="AV38" s="22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8"/>
      <c r="BI38" s="22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23"/>
    </row>
    <row r="39" spans="2:86" ht="15">
      <c r="B39" s="37" t="s">
        <v>37</v>
      </c>
      <c r="C39" s="60">
        <v>0.71891734</v>
      </c>
      <c r="D39" s="39">
        <v>0.80605115</v>
      </c>
      <c r="E39" s="39">
        <v>1.5542255499999997</v>
      </c>
      <c r="F39" s="39">
        <v>0.30703339999999996</v>
      </c>
      <c r="G39" s="39">
        <v>0.72942501</v>
      </c>
      <c r="H39" s="39">
        <v>0.93186725</v>
      </c>
      <c r="I39" s="39">
        <v>0.61001374</v>
      </c>
      <c r="J39" s="39">
        <v>0.53419391</v>
      </c>
      <c r="K39" s="39">
        <v>0.86968198</v>
      </c>
      <c r="L39" s="39">
        <v>0.40933462</v>
      </c>
      <c r="M39" s="39">
        <v>1.00018604</v>
      </c>
      <c r="N39" s="39">
        <v>1.23748956</v>
      </c>
      <c r="O39" s="39">
        <v>2.1521456800000003</v>
      </c>
      <c r="P39" s="39">
        <v>2.7476296600000003</v>
      </c>
      <c r="Q39" s="39">
        <v>1.6140563199999998</v>
      </c>
      <c r="R39" s="39">
        <v>3.3480597999999997</v>
      </c>
      <c r="S39" s="39">
        <v>2.5430139499999997</v>
      </c>
      <c r="T39" s="39">
        <v>1.1945229300000002</v>
      </c>
      <c r="U39" s="39">
        <v>2.14216364</v>
      </c>
      <c r="V39" s="3">
        <v>2.90255398</v>
      </c>
      <c r="W39" s="57"/>
      <c r="X39" s="8"/>
      <c r="Y39" s="37" t="s">
        <v>37</v>
      </c>
      <c r="Z39" s="60">
        <v>0</v>
      </c>
      <c r="AA39" s="39">
        <v>8.02242296</v>
      </c>
      <c r="AB39" s="39">
        <v>23.537904150000003</v>
      </c>
      <c r="AC39" s="39">
        <v>14.72406051</v>
      </c>
      <c r="AD39" s="39">
        <v>14.608151200000002</v>
      </c>
      <c r="AE39" s="39">
        <v>17.131561519999998</v>
      </c>
      <c r="AF39" s="39">
        <v>5.03735084</v>
      </c>
      <c r="AG39" s="39">
        <v>2.28114164</v>
      </c>
      <c r="AH39" s="39">
        <v>0.40469125</v>
      </c>
      <c r="AI39" s="39">
        <v>0.23826591</v>
      </c>
      <c r="AJ39" s="39">
        <v>0.05106543</v>
      </c>
      <c r="AK39" s="39">
        <v>0.01175385</v>
      </c>
      <c r="AL39" s="39">
        <v>0.03501122</v>
      </c>
      <c r="AM39" s="39">
        <v>0.35386534000000003</v>
      </c>
      <c r="AN39" s="39">
        <v>1.11654906</v>
      </c>
      <c r="AO39" s="39">
        <v>0.8823873299999999</v>
      </c>
      <c r="AP39" s="39">
        <v>0.50386541</v>
      </c>
      <c r="AQ39" s="39">
        <v>0</v>
      </c>
      <c r="AR39" s="39">
        <v>0</v>
      </c>
      <c r="AS39" s="3">
        <v>0.02694028</v>
      </c>
      <c r="AT39" s="57"/>
      <c r="AU39" s="8"/>
      <c r="AV39" s="22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8"/>
      <c r="BI39" s="22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23"/>
    </row>
    <row r="40" spans="2:86" ht="15.75" thickBot="1">
      <c r="B40" s="37" t="s">
        <v>38</v>
      </c>
      <c r="C40" s="60">
        <v>0.47156970000000004</v>
      </c>
      <c r="D40" s="39">
        <v>0.8994712699999999</v>
      </c>
      <c r="E40" s="39">
        <v>0.43355949</v>
      </c>
      <c r="F40" s="39">
        <v>0.5664719399999999</v>
      </c>
      <c r="G40" s="39">
        <v>1.1147928800000002</v>
      </c>
      <c r="H40" s="39">
        <v>0.5972623499999999</v>
      </c>
      <c r="I40" s="39">
        <v>0.51466598</v>
      </c>
      <c r="J40" s="39">
        <v>0.79574402</v>
      </c>
      <c r="K40" s="39">
        <v>0.5723980399999999</v>
      </c>
      <c r="L40" s="39">
        <v>0.5572329399999999</v>
      </c>
      <c r="M40" s="39">
        <v>0.78180505</v>
      </c>
      <c r="N40" s="39">
        <v>0.7734732099999999</v>
      </c>
      <c r="O40" s="39">
        <v>3.2690209599999998</v>
      </c>
      <c r="P40" s="39">
        <v>2.5023406599999998</v>
      </c>
      <c r="Q40" s="39">
        <v>1.94927001</v>
      </c>
      <c r="R40" s="39">
        <v>1.3266419500000002</v>
      </c>
      <c r="S40" s="39">
        <v>2.16654304</v>
      </c>
      <c r="T40" s="39">
        <v>1.49600252</v>
      </c>
      <c r="U40" s="39">
        <v>2.44540008</v>
      </c>
      <c r="V40" s="3">
        <v>1.68744966</v>
      </c>
      <c r="W40" s="57"/>
      <c r="X40" s="8"/>
      <c r="Y40" s="37" t="s">
        <v>38</v>
      </c>
      <c r="Z40" s="60">
        <v>0</v>
      </c>
      <c r="AA40" s="39">
        <v>599.28642873</v>
      </c>
      <c r="AB40" s="39">
        <v>16.515433530000003</v>
      </c>
      <c r="AC40" s="39">
        <v>20.22443875</v>
      </c>
      <c r="AD40" s="39">
        <v>18.587366460000002</v>
      </c>
      <c r="AE40" s="39">
        <v>25.101266900000002</v>
      </c>
      <c r="AF40" s="39">
        <v>9.21127769</v>
      </c>
      <c r="AG40" s="39">
        <v>2.32986058</v>
      </c>
      <c r="AH40" s="39">
        <v>0.24449329</v>
      </c>
      <c r="AI40" s="39">
        <v>0.59326549</v>
      </c>
      <c r="AJ40" s="39">
        <v>0.01219992</v>
      </c>
      <c r="AK40" s="39">
        <v>0.0024654</v>
      </c>
      <c r="AL40" s="39">
        <v>0.1234678</v>
      </c>
      <c r="AM40" s="39">
        <v>0.00069596</v>
      </c>
      <c r="AN40" s="39">
        <v>0.8865564499999999</v>
      </c>
      <c r="AO40" s="39">
        <v>0.20171917</v>
      </c>
      <c r="AP40" s="39">
        <v>56.330840439999996</v>
      </c>
      <c r="AQ40" s="39">
        <v>0</v>
      </c>
      <c r="AR40" s="39">
        <v>0</v>
      </c>
      <c r="AS40" s="3">
        <v>0.033718830000000005</v>
      </c>
      <c r="AT40" s="57"/>
      <c r="AU40" s="8"/>
      <c r="AV40" s="22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8"/>
      <c r="BI40" s="22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23"/>
    </row>
    <row r="41" spans="2:86" ht="15.75" thickBot="1">
      <c r="B41" s="35" t="s">
        <v>3</v>
      </c>
      <c r="C41" s="43">
        <f>SUM(C29:C40)</f>
        <v>8.64385245</v>
      </c>
      <c r="D41" s="36">
        <f>SUM(D29:D40)</f>
        <v>9.07470447</v>
      </c>
      <c r="E41" s="36">
        <f aca="true" t="shared" si="2" ref="E41:R41">SUM(E29:E40)</f>
        <v>9.129151330000001</v>
      </c>
      <c r="F41" s="36">
        <f t="shared" si="2"/>
        <v>9.11240357</v>
      </c>
      <c r="G41" s="36">
        <f t="shared" si="2"/>
        <v>14.530818439999997</v>
      </c>
      <c r="H41" s="36">
        <f t="shared" si="2"/>
        <v>15.88060964</v>
      </c>
      <c r="I41" s="36">
        <f t="shared" si="2"/>
        <v>9.47138865</v>
      </c>
      <c r="J41" s="36">
        <f t="shared" si="2"/>
        <v>10.607098820000001</v>
      </c>
      <c r="K41" s="36">
        <f t="shared" si="2"/>
        <v>14.164536479999997</v>
      </c>
      <c r="L41" s="36">
        <f t="shared" si="2"/>
        <v>9.109661299999999</v>
      </c>
      <c r="M41" s="36">
        <f t="shared" si="2"/>
        <v>11.508355640000001</v>
      </c>
      <c r="N41" s="36">
        <f t="shared" si="2"/>
        <v>15.672741910000001</v>
      </c>
      <c r="O41" s="36">
        <f t="shared" si="2"/>
        <v>21.24525036</v>
      </c>
      <c r="P41" s="36">
        <f t="shared" si="2"/>
        <v>23.80399097</v>
      </c>
      <c r="Q41" s="36">
        <f t="shared" si="2"/>
        <v>30.178711579999998</v>
      </c>
      <c r="R41" s="36">
        <f t="shared" si="2"/>
        <v>28.10141852</v>
      </c>
      <c r="S41" s="36">
        <v>42.183434840000004</v>
      </c>
      <c r="T41" s="36">
        <f>SUM(T29:T40)</f>
        <v>12.358393289999999</v>
      </c>
      <c r="U41" s="36">
        <v>26.288639629999995</v>
      </c>
      <c r="V41" s="36">
        <f>SUM(V29:V40)</f>
        <v>36.95724399</v>
      </c>
      <c r="W41" s="58">
        <f>SUM(W29:W40)</f>
        <v>30.126882700000007</v>
      </c>
      <c r="X41" s="8"/>
      <c r="Y41" s="35" t="s">
        <v>3</v>
      </c>
      <c r="Z41" s="43">
        <f>SUM(Z29:Z40)</f>
        <v>0</v>
      </c>
      <c r="AA41" s="36">
        <f>SUM(AA29:AA40)</f>
        <v>1225.99201077</v>
      </c>
      <c r="AB41" s="36">
        <f aca="true" t="shared" si="3" ref="AB41:AO41">SUM(AB29:AB40)</f>
        <v>1647.3011011700003</v>
      </c>
      <c r="AC41" s="36">
        <f t="shared" si="3"/>
        <v>2198.6359937700004</v>
      </c>
      <c r="AD41" s="36">
        <f t="shared" si="3"/>
        <v>2046.9070451300001</v>
      </c>
      <c r="AE41" s="36">
        <f t="shared" si="3"/>
        <v>2335.8032173</v>
      </c>
      <c r="AF41" s="36">
        <f t="shared" si="3"/>
        <v>676.5103839199999</v>
      </c>
      <c r="AG41" s="36">
        <f t="shared" si="3"/>
        <v>43.758966060000006</v>
      </c>
      <c r="AH41" s="36">
        <f t="shared" si="3"/>
        <v>53.55898752</v>
      </c>
      <c r="AI41" s="36">
        <f t="shared" si="3"/>
        <v>4.2030756899999995</v>
      </c>
      <c r="AJ41" s="36">
        <f t="shared" si="3"/>
        <v>20.56623525</v>
      </c>
      <c r="AK41" s="36">
        <f t="shared" si="3"/>
        <v>9.24902003</v>
      </c>
      <c r="AL41" s="36">
        <f t="shared" si="3"/>
        <v>1.2518331299999998</v>
      </c>
      <c r="AM41" s="36">
        <f t="shared" si="3"/>
        <v>1.31297313</v>
      </c>
      <c r="AN41" s="36">
        <f t="shared" si="3"/>
        <v>27.823200850000003</v>
      </c>
      <c r="AO41" s="36">
        <f t="shared" si="3"/>
        <v>10.25391205</v>
      </c>
      <c r="AP41" s="36">
        <v>63.132312709999994</v>
      </c>
      <c r="AQ41" s="36">
        <f>SUM(AQ29:AQ40)</f>
        <v>2.6662241200000003</v>
      </c>
      <c r="AR41" s="36">
        <v>8.90508273</v>
      </c>
      <c r="AS41" s="36">
        <f>SUM(AS29:AS40)</f>
        <v>10.747624269999998</v>
      </c>
      <c r="AT41" s="58">
        <f>SUM(AT29:AT40)</f>
        <v>6.22007981</v>
      </c>
      <c r="AU41" s="8"/>
      <c r="AV41" s="22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8"/>
      <c r="BI41" s="22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23"/>
    </row>
    <row r="42" spans="2:85" ht="15">
      <c r="B42" s="4" t="s">
        <v>4</v>
      </c>
      <c r="C42" s="4"/>
      <c r="D42" s="4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8"/>
      <c r="Q42" s="8"/>
      <c r="R42" s="8"/>
      <c r="S42" s="8"/>
      <c r="T42" s="8"/>
      <c r="U42" s="8"/>
      <c r="V42" s="8"/>
      <c r="W42" s="8"/>
      <c r="X42" s="4"/>
      <c r="Y42" s="4" t="s">
        <v>4</v>
      </c>
      <c r="Z42" s="4"/>
      <c r="AA42" s="4"/>
      <c r="AB42" s="4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8"/>
      <c r="AN42" s="8"/>
      <c r="AO42" s="8"/>
      <c r="AP42" s="8"/>
      <c r="AQ42" s="8"/>
      <c r="AR42" s="8"/>
      <c r="AS42" s="8"/>
      <c r="AT42" s="8"/>
      <c r="AU42" s="22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8"/>
      <c r="BH42" s="22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23"/>
    </row>
    <row r="43" spans="2:85" ht="15">
      <c r="B43" s="73" t="s">
        <v>5</v>
      </c>
      <c r="C43" s="73"/>
      <c r="D43" s="73"/>
      <c r="E43" s="73"/>
      <c r="F43" s="6"/>
      <c r="G43" s="6"/>
      <c r="H43" s="6"/>
      <c r="I43" s="6"/>
      <c r="J43" s="6"/>
      <c r="K43" s="6"/>
      <c r="L43" s="6"/>
      <c r="M43" s="6"/>
      <c r="N43" s="6"/>
      <c r="O43" s="6"/>
      <c r="P43" s="8"/>
      <c r="Q43" s="8"/>
      <c r="R43" s="8"/>
      <c r="S43" s="8"/>
      <c r="T43" s="8"/>
      <c r="U43" s="8"/>
      <c r="V43" s="8"/>
      <c r="W43" s="8"/>
      <c r="X43" s="50"/>
      <c r="Y43" s="50" t="s">
        <v>5</v>
      </c>
      <c r="Z43" s="50"/>
      <c r="AA43" s="50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8"/>
      <c r="AN43" s="8"/>
      <c r="AO43" s="8"/>
      <c r="AP43" s="8"/>
      <c r="AQ43" s="8"/>
      <c r="AR43" s="8"/>
      <c r="AS43" s="8"/>
      <c r="AT43" s="8"/>
      <c r="AU43" s="22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8"/>
      <c r="BH43" s="22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23"/>
    </row>
    <row r="44" spans="2:85" ht="15">
      <c r="B44" s="22" t="s">
        <v>10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8"/>
      <c r="Q44" s="8"/>
      <c r="R44" s="8"/>
      <c r="S44" s="8"/>
      <c r="T44" s="8"/>
      <c r="U44" s="8"/>
      <c r="V44" s="8"/>
      <c r="W44" s="8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8"/>
      <c r="AN44" s="8"/>
      <c r="AO44" s="8"/>
      <c r="AP44" s="8"/>
      <c r="AQ44" s="8"/>
      <c r="AR44" s="8"/>
      <c r="AS44" s="8"/>
      <c r="AT44" s="8"/>
      <c r="AU44" s="22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8"/>
      <c r="BH44" s="22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23"/>
    </row>
    <row r="45" spans="2:85" ht="5.25" customHeight="1">
      <c r="B45" s="2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8"/>
      <c r="Q45" s="8"/>
      <c r="R45" s="8"/>
      <c r="S45" s="8"/>
      <c r="T45" s="8"/>
      <c r="U45" s="8"/>
      <c r="V45" s="8"/>
      <c r="W45" s="8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8"/>
      <c r="AN45" s="8"/>
      <c r="AO45" s="8"/>
      <c r="AP45" s="8"/>
      <c r="AQ45" s="8"/>
      <c r="AR45" s="8"/>
      <c r="AS45" s="8"/>
      <c r="AT45" s="8"/>
      <c r="AU45" s="22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8"/>
      <c r="BH45" s="22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23"/>
    </row>
    <row r="46" spans="2:85" ht="24" customHeight="1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8"/>
      <c r="AN46" s="8"/>
      <c r="AO46" s="8"/>
      <c r="AP46" s="8"/>
      <c r="AQ46" s="8"/>
      <c r="AR46" s="8"/>
      <c r="AS46" s="8"/>
      <c r="AT46" s="8"/>
      <c r="AU46" s="22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8"/>
      <c r="BH46" s="22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23"/>
    </row>
    <row r="47" spans="2:85" ht="16.5">
      <c r="B47" s="38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8"/>
      <c r="Q47" s="8"/>
      <c r="R47" s="8"/>
      <c r="S47" s="8"/>
      <c r="T47" s="8"/>
      <c r="U47" s="8"/>
      <c r="V47" s="8"/>
      <c r="W47" s="8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8"/>
      <c r="AN47" s="8"/>
      <c r="AO47" s="8"/>
      <c r="AP47" s="8"/>
      <c r="AQ47" s="8"/>
      <c r="AR47" s="8"/>
      <c r="AS47" s="8"/>
      <c r="AT47" s="8"/>
      <c r="AU47" s="22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8"/>
      <c r="BH47" s="22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23"/>
    </row>
    <row r="48" spans="2:85" ht="15.75" customHeight="1">
      <c r="B48" s="75" t="s">
        <v>8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49"/>
      <c r="Y48" s="75" t="s">
        <v>15</v>
      </c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22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8"/>
      <c r="BH48" s="22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23"/>
    </row>
    <row r="49" spans="2:85" ht="15">
      <c r="B49" s="72" t="s">
        <v>39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Y49" s="72" t="s">
        <v>39</v>
      </c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22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8"/>
      <c r="BH49" s="22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23"/>
    </row>
    <row r="50" spans="2:85" ht="15.75" thickBot="1">
      <c r="B50" s="71" t="s">
        <v>1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Y50" s="71" t="s">
        <v>1</v>
      </c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22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8"/>
      <c r="BH50" s="22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23"/>
    </row>
    <row r="51" spans="2:86" ht="33" customHeight="1" thickBot="1">
      <c r="B51" s="33" t="s">
        <v>2</v>
      </c>
      <c r="C51" s="41">
        <v>2003</v>
      </c>
      <c r="D51" s="34">
        <v>2004</v>
      </c>
      <c r="E51" s="34">
        <v>2005</v>
      </c>
      <c r="F51" s="34">
        <v>2006</v>
      </c>
      <c r="G51" s="34">
        <v>2007</v>
      </c>
      <c r="H51" s="34">
        <v>2008</v>
      </c>
      <c r="I51" s="34">
        <v>2009</v>
      </c>
      <c r="J51" s="34">
        <v>2010</v>
      </c>
      <c r="K51" s="34">
        <v>2011</v>
      </c>
      <c r="L51" s="34">
        <v>2012</v>
      </c>
      <c r="M51" s="34">
        <v>2013</v>
      </c>
      <c r="N51" s="34">
        <v>2014</v>
      </c>
      <c r="O51" s="34">
        <v>2015</v>
      </c>
      <c r="P51" s="34">
        <v>2016</v>
      </c>
      <c r="Q51" s="34">
        <v>2017</v>
      </c>
      <c r="R51" s="34">
        <v>2018</v>
      </c>
      <c r="S51" s="34">
        <v>2019</v>
      </c>
      <c r="T51" s="34">
        <v>2020</v>
      </c>
      <c r="U51" s="34">
        <v>2021</v>
      </c>
      <c r="V51" s="34">
        <v>2022</v>
      </c>
      <c r="W51" s="55">
        <v>2023</v>
      </c>
      <c r="X51" s="51"/>
      <c r="Y51" s="33" t="s">
        <v>2</v>
      </c>
      <c r="Z51" s="41">
        <v>2003</v>
      </c>
      <c r="AA51" s="34">
        <v>2004</v>
      </c>
      <c r="AB51" s="34">
        <v>2005</v>
      </c>
      <c r="AC51" s="34">
        <v>2006</v>
      </c>
      <c r="AD51" s="34">
        <v>2007</v>
      </c>
      <c r="AE51" s="34">
        <v>2008</v>
      </c>
      <c r="AF51" s="34">
        <v>2009</v>
      </c>
      <c r="AG51" s="34">
        <v>2010</v>
      </c>
      <c r="AH51" s="34">
        <v>2011</v>
      </c>
      <c r="AI51" s="34">
        <v>2012</v>
      </c>
      <c r="AJ51" s="34">
        <v>2013</v>
      </c>
      <c r="AK51" s="34">
        <v>2014</v>
      </c>
      <c r="AL51" s="34">
        <v>2015</v>
      </c>
      <c r="AM51" s="34">
        <v>2016</v>
      </c>
      <c r="AN51" s="34">
        <v>2017</v>
      </c>
      <c r="AO51" s="34">
        <v>2018</v>
      </c>
      <c r="AP51" s="34">
        <v>2019</v>
      </c>
      <c r="AQ51" s="34">
        <v>2020</v>
      </c>
      <c r="AR51" s="34">
        <v>2021</v>
      </c>
      <c r="AS51" s="34">
        <v>2022</v>
      </c>
      <c r="AT51" s="55">
        <v>2023</v>
      </c>
      <c r="AU51" s="8"/>
      <c r="AV51" s="22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8"/>
      <c r="BI51" s="22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23"/>
    </row>
    <row r="52" spans="2:86" ht="4.5" customHeight="1"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56"/>
      <c r="X52" s="8"/>
      <c r="Y52" s="46"/>
      <c r="Z52" s="47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56"/>
      <c r="AU52" s="8"/>
      <c r="AV52" s="22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8"/>
      <c r="BI52" s="22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23"/>
    </row>
    <row r="53" spans="2:86" ht="15">
      <c r="B53" s="37" t="s">
        <v>27</v>
      </c>
      <c r="C53" s="42">
        <v>0</v>
      </c>
      <c r="D53" s="3">
        <v>0</v>
      </c>
      <c r="E53" s="3">
        <v>0</v>
      </c>
      <c r="F53" s="3">
        <v>0</v>
      </c>
      <c r="G53" s="3">
        <v>0</v>
      </c>
      <c r="H53" s="3">
        <v>0.00011832999999999999</v>
      </c>
      <c r="I53" s="3">
        <v>0.005213209999999999</v>
      </c>
      <c r="J53" s="3">
        <v>0</v>
      </c>
      <c r="K53" s="3">
        <v>0.002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57">
        <v>0</v>
      </c>
      <c r="X53" s="8"/>
      <c r="Y53" s="37" t="s">
        <v>27</v>
      </c>
      <c r="Z53" s="60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0</v>
      </c>
      <c r="AG53" s="39">
        <v>628.45000009</v>
      </c>
      <c r="AH53" s="39">
        <v>597.20198598</v>
      </c>
      <c r="AI53" s="39">
        <v>627.4177323600001</v>
      </c>
      <c r="AJ53" s="39">
        <v>740.83269318</v>
      </c>
      <c r="AK53" s="39">
        <v>794.96134431</v>
      </c>
      <c r="AL53" s="39">
        <v>875.62311658</v>
      </c>
      <c r="AM53" s="39">
        <v>967.4981888899999</v>
      </c>
      <c r="AN53" s="39">
        <v>985.9924601399999</v>
      </c>
      <c r="AO53" s="39">
        <v>1057.49703371</v>
      </c>
      <c r="AP53" s="39">
        <v>1104.42676329</v>
      </c>
      <c r="AQ53" s="39">
        <v>1151.3339794400001</v>
      </c>
      <c r="AR53" s="39">
        <v>1199.30876361</v>
      </c>
      <c r="AS53" s="39">
        <v>1195.18252791</v>
      </c>
      <c r="AT53" s="59">
        <v>1436.30192582</v>
      </c>
      <c r="AU53" s="8"/>
      <c r="AV53" s="22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8"/>
      <c r="BI53" s="22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23"/>
    </row>
    <row r="54" spans="2:86" ht="15">
      <c r="B54" s="37" t="s">
        <v>28</v>
      </c>
      <c r="C54" s="42">
        <v>0</v>
      </c>
      <c r="D54" s="3">
        <v>0</v>
      </c>
      <c r="E54" s="3">
        <v>0</v>
      </c>
      <c r="F54" s="3">
        <v>0</v>
      </c>
      <c r="G54" s="3">
        <v>0</v>
      </c>
      <c r="H54" s="3">
        <v>0.00265741</v>
      </c>
      <c r="I54" s="3">
        <v>6.948999999999999E-05</v>
      </c>
      <c r="J54" s="3">
        <v>0</v>
      </c>
      <c r="K54" s="3">
        <v>0.002</v>
      </c>
      <c r="L54" s="3">
        <v>0</v>
      </c>
      <c r="M54" s="3">
        <v>0.00075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57">
        <v>0</v>
      </c>
      <c r="X54" s="8"/>
      <c r="Y54" s="37" t="s">
        <v>28</v>
      </c>
      <c r="Z54" s="60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25.7325608</v>
      </c>
      <c r="AH54" s="39">
        <v>30.81003813</v>
      </c>
      <c r="AI54" s="39">
        <v>29.42074059</v>
      </c>
      <c r="AJ54" s="39">
        <v>33.651061850000005</v>
      </c>
      <c r="AK54" s="39">
        <v>29.339335579999997</v>
      </c>
      <c r="AL54" s="39">
        <v>47.370850700000005</v>
      </c>
      <c r="AM54" s="39">
        <v>52.25534109</v>
      </c>
      <c r="AN54" s="39">
        <v>51.004711549999996</v>
      </c>
      <c r="AO54" s="39">
        <v>47.70723522</v>
      </c>
      <c r="AP54" s="39">
        <v>39.0208709</v>
      </c>
      <c r="AQ54" s="39">
        <v>36.33609711</v>
      </c>
      <c r="AR54" s="39">
        <v>54.00584674</v>
      </c>
      <c r="AS54" s="39">
        <v>44.16492452000001</v>
      </c>
      <c r="AT54" s="59">
        <v>67.06717520000001</v>
      </c>
      <c r="AU54" s="8"/>
      <c r="AV54" s="22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8"/>
      <c r="BI54" s="22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23"/>
    </row>
    <row r="55" spans="2:86" ht="15">
      <c r="B55" s="37" t="s">
        <v>29</v>
      </c>
      <c r="C55" s="42">
        <v>0</v>
      </c>
      <c r="D55" s="3">
        <v>0</v>
      </c>
      <c r="E55" s="3">
        <v>0</v>
      </c>
      <c r="F55" s="3">
        <v>0</v>
      </c>
      <c r="G55" s="3">
        <v>0</v>
      </c>
      <c r="H55" s="3">
        <v>9.999999999999999E-05</v>
      </c>
      <c r="I55" s="3">
        <v>0.00246421</v>
      </c>
      <c r="J55" s="3">
        <v>0</v>
      </c>
      <c r="K55" s="3">
        <v>0.00846539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57">
        <v>0</v>
      </c>
      <c r="X55" s="8"/>
      <c r="Y55" s="37" t="s">
        <v>29</v>
      </c>
      <c r="Z55" s="60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2.5238311</v>
      </c>
      <c r="AG55" s="39">
        <v>11.585542790000002</v>
      </c>
      <c r="AH55" s="39">
        <v>28.48937964</v>
      </c>
      <c r="AI55" s="39">
        <v>15.46381781</v>
      </c>
      <c r="AJ55" s="39">
        <v>13.01594122</v>
      </c>
      <c r="AK55" s="39">
        <v>16.96905995</v>
      </c>
      <c r="AL55" s="39">
        <v>22.89540602</v>
      </c>
      <c r="AM55" s="39">
        <v>20.84691648</v>
      </c>
      <c r="AN55" s="39">
        <v>25.763318899999998</v>
      </c>
      <c r="AO55" s="39">
        <v>28.01040029</v>
      </c>
      <c r="AP55" s="39">
        <v>21.24139288</v>
      </c>
      <c r="AQ55" s="39">
        <v>13.84483193</v>
      </c>
      <c r="AR55" s="39">
        <v>54.41911208</v>
      </c>
      <c r="AS55" s="39">
        <v>28.63468196</v>
      </c>
      <c r="AT55" s="59">
        <v>35.91256651</v>
      </c>
      <c r="AU55" s="8"/>
      <c r="AV55" s="22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8"/>
      <c r="BI55" s="22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23"/>
    </row>
    <row r="56" spans="2:86" ht="15">
      <c r="B56" s="37" t="s">
        <v>30</v>
      </c>
      <c r="C56" s="42">
        <v>0</v>
      </c>
      <c r="D56" s="3">
        <v>0</v>
      </c>
      <c r="E56" s="3">
        <v>0</v>
      </c>
      <c r="F56" s="3">
        <v>0</v>
      </c>
      <c r="G56" s="3">
        <v>0</v>
      </c>
      <c r="H56" s="3">
        <v>0.032348419999999996</v>
      </c>
      <c r="I56" s="3">
        <v>0.0010391099999999998</v>
      </c>
      <c r="J56" s="3">
        <v>0</v>
      </c>
      <c r="K56" s="3">
        <v>0</v>
      </c>
      <c r="L56" s="3">
        <v>8.35E-05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57">
        <v>0</v>
      </c>
      <c r="X56" s="8"/>
      <c r="Y56" s="37" t="s">
        <v>30</v>
      </c>
      <c r="Z56" s="60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582.5908722300001</v>
      </c>
      <c r="AG56" s="39">
        <v>584.70454389</v>
      </c>
      <c r="AH56" s="39">
        <v>602.61074475</v>
      </c>
      <c r="AI56" s="39">
        <v>670.71347884</v>
      </c>
      <c r="AJ56" s="39">
        <v>757.6290774600001</v>
      </c>
      <c r="AK56" s="39">
        <v>815.9864121</v>
      </c>
      <c r="AL56" s="39">
        <v>926.7299108999999</v>
      </c>
      <c r="AM56" s="39">
        <v>936.2252946799999</v>
      </c>
      <c r="AN56" s="39">
        <v>1011.80703201</v>
      </c>
      <c r="AO56" s="39">
        <v>1073.4469946699999</v>
      </c>
      <c r="AP56" s="39">
        <v>1122.73362271</v>
      </c>
      <c r="AQ56" s="39">
        <v>1154.9350138599998</v>
      </c>
      <c r="AR56" s="39">
        <v>1259.5231827999999</v>
      </c>
      <c r="AS56" s="39">
        <v>1505.1536665</v>
      </c>
      <c r="AT56" s="59">
        <v>1753.6364240999999</v>
      </c>
      <c r="AU56" s="8"/>
      <c r="AV56" s="22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8"/>
      <c r="BI56" s="22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23"/>
    </row>
    <row r="57" spans="2:86" ht="15">
      <c r="B57" s="37" t="s">
        <v>31</v>
      </c>
      <c r="C57" s="42">
        <v>0</v>
      </c>
      <c r="D57" s="3">
        <v>0</v>
      </c>
      <c r="E57" s="3">
        <v>0</v>
      </c>
      <c r="F57" s="3">
        <v>0</v>
      </c>
      <c r="G57" s="3">
        <v>0</v>
      </c>
      <c r="H57" s="3">
        <v>0.0036079999999999997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57">
        <v>0</v>
      </c>
      <c r="X57" s="8"/>
      <c r="Y57" s="37" t="s">
        <v>31</v>
      </c>
      <c r="Z57" s="60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14.61303292</v>
      </c>
      <c r="AG57" s="39">
        <v>20.83160733</v>
      </c>
      <c r="AH57" s="39">
        <v>26.301016739999998</v>
      </c>
      <c r="AI57" s="39">
        <v>30.63499936</v>
      </c>
      <c r="AJ57" s="39">
        <v>33.90083087</v>
      </c>
      <c r="AK57" s="39">
        <v>31.71118054</v>
      </c>
      <c r="AL57" s="39">
        <v>37.289697679999996</v>
      </c>
      <c r="AM57" s="39">
        <v>41.36941817</v>
      </c>
      <c r="AN57" s="39">
        <v>43.74995155</v>
      </c>
      <c r="AO57" s="39">
        <v>46.73290811</v>
      </c>
      <c r="AP57" s="39">
        <v>38.67250962</v>
      </c>
      <c r="AQ57" s="39">
        <v>44.88326087</v>
      </c>
      <c r="AR57" s="39">
        <v>45.0307991</v>
      </c>
      <c r="AS57" s="39">
        <v>45.95314912</v>
      </c>
      <c r="AT57" s="59">
        <v>72.37007412999999</v>
      </c>
      <c r="AU57" s="8"/>
      <c r="AV57" s="22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8"/>
      <c r="BI57" s="22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23"/>
    </row>
    <row r="58" spans="2:86" ht="15">
      <c r="B58" s="37" t="s">
        <v>32</v>
      </c>
      <c r="C58" s="42">
        <v>0</v>
      </c>
      <c r="D58" s="3">
        <v>0</v>
      </c>
      <c r="E58" s="3">
        <v>0</v>
      </c>
      <c r="F58" s="3">
        <v>0</v>
      </c>
      <c r="G58" s="3">
        <v>0</v>
      </c>
      <c r="H58" s="3">
        <v>0.01047859</v>
      </c>
      <c r="I58" s="3">
        <v>0</v>
      </c>
      <c r="J58" s="3">
        <v>0.03903436</v>
      </c>
      <c r="K58" s="3">
        <v>0</v>
      </c>
      <c r="L58" s="3">
        <v>0.00095434</v>
      </c>
      <c r="M58" s="3">
        <v>4.4999999999999996E-05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57">
        <v>0</v>
      </c>
      <c r="X58" s="8"/>
      <c r="Y58" s="37" t="s">
        <v>32</v>
      </c>
      <c r="Z58" s="60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6.59306136</v>
      </c>
      <c r="AG58" s="39">
        <v>10.99071187</v>
      </c>
      <c r="AH58" s="39">
        <v>13.02051423</v>
      </c>
      <c r="AI58" s="39">
        <v>10.70694716</v>
      </c>
      <c r="AJ58" s="39">
        <v>12.82947312</v>
      </c>
      <c r="AK58" s="39">
        <v>57.34736825</v>
      </c>
      <c r="AL58" s="39">
        <v>21.103946420000003</v>
      </c>
      <c r="AM58" s="39">
        <v>19.99627288</v>
      </c>
      <c r="AN58" s="39">
        <v>43.27358739</v>
      </c>
      <c r="AO58" s="39">
        <v>25.442104620000002</v>
      </c>
      <c r="AP58" s="39">
        <v>19.64124722</v>
      </c>
      <c r="AQ58" s="39">
        <v>33.679559270000006</v>
      </c>
      <c r="AR58" s="39">
        <v>22.96946046</v>
      </c>
      <c r="AS58" s="39">
        <v>20.06139267</v>
      </c>
      <c r="AT58" s="59">
        <v>33.28048691</v>
      </c>
      <c r="AU58" s="8"/>
      <c r="AV58" s="22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8"/>
      <c r="BI58" s="22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23"/>
    </row>
    <row r="59" spans="2:86" ht="15">
      <c r="B59" s="37" t="s">
        <v>33</v>
      </c>
      <c r="C59" s="42">
        <v>0</v>
      </c>
      <c r="D59" s="3">
        <v>0</v>
      </c>
      <c r="E59" s="3">
        <v>0</v>
      </c>
      <c r="F59" s="3">
        <v>0</v>
      </c>
      <c r="G59" s="3">
        <v>0</v>
      </c>
      <c r="H59" s="3">
        <v>0.00025</v>
      </c>
      <c r="I59" s="3">
        <v>0.00022244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57">
        <v>0</v>
      </c>
      <c r="X59" s="8"/>
      <c r="Y59" s="37" t="s">
        <v>33</v>
      </c>
      <c r="Z59" s="60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577.6685045500001</v>
      </c>
      <c r="AG59" s="39">
        <v>590.24551487</v>
      </c>
      <c r="AH59" s="39">
        <v>592.76425192</v>
      </c>
      <c r="AI59" s="39">
        <v>680.53214181</v>
      </c>
      <c r="AJ59" s="39">
        <v>769.3233461</v>
      </c>
      <c r="AK59" s="39">
        <v>849.87452138</v>
      </c>
      <c r="AL59" s="39">
        <v>922.38348957</v>
      </c>
      <c r="AM59" s="39">
        <v>946.136711</v>
      </c>
      <c r="AN59" s="39">
        <v>1016.4085387</v>
      </c>
      <c r="AO59" s="39">
        <v>1108.7459370699999</v>
      </c>
      <c r="AP59" s="39">
        <v>1136.43169874</v>
      </c>
      <c r="AQ59" s="39">
        <v>1132.8382713800002</v>
      </c>
      <c r="AR59" s="39">
        <v>1264.75950156</v>
      </c>
      <c r="AS59" s="39">
        <v>1522.0722968</v>
      </c>
      <c r="AT59" s="59">
        <v>1766.52098029</v>
      </c>
      <c r="AU59" s="8"/>
      <c r="AV59" s="22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8"/>
      <c r="BI59" s="22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23"/>
    </row>
    <row r="60" spans="2:86" ht="15">
      <c r="B60" s="37" t="s">
        <v>34</v>
      </c>
      <c r="C60" s="42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0.002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57">
        <v>0</v>
      </c>
      <c r="X60" s="8"/>
      <c r="Y60" s="37" t="s">
        <v>34</v>
      </c>
      <c r="Z60" s="60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16.45383361</v>
      </c>
      <c r="AG60" s="39">
        <v>22.21323835</v>
      </c>
      <c r="AH60" s="39">
        <v>28.2009803</v>
      </c>
      <c r="AI60" s="39">
        <v>23.39683913</v>
      </c>
      <c r="AJ60" s="39">
        <v>35.43370061</v>
      </c>
      <c r="AK60" s="39">
        <v>30.56423284</v>
      </c>
      <c r="AL60" s="39">
        <v>34.83475371</v>
      </c>
      <c r="AM60" s="39">
        <v>44.22418705</v>
      </c>
      <c r="AN60" s="39">
        <v>40.39227056</v>
      </c>
      <c r="AO60" s="39">
        <v>50.65861525</v>
      </c>
      <c r="AP60" s="39">
        <v>33.12885141</v>
      </c>
      <c r="AQ60" s="39">
        <v>49.59099016</v>
      </c>
      <c r="AR60" s="39">
        <v>39.036764520000006</v>
      </c>
      <c r="AS60" s="39">
        <v>37.71613594</v>
      </c>
      <c r="AT60" s="59">
        <v>64.85025257</v>
      </c>
      <c r="AU60" s="8"/>
      <c r="AV60" s="22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8"/>
      <c r="BI60" s="22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23"/>
    </row>
    <row r="61" spans="2:86" ht="15">
      <c r="B61" s="37" t="s">
        <v>35</v>
      </c>
      <c r="C61" s="42">
        <v>0</v>
      </c>
      <c r="D61" s="3">
        <v>0</v>
      </c>
      <c r="E61" s="3">
        <v>0</v>
      </c>
      <c r="F61" s="3">
        <v>0</v>
      </c>
      <c r="G61" s="3">
        <v>0.16000182000000002</v>
      </c>
      <c r="H61" s="3">
        <v>0.00026</v>
      </c>
      <c r="I61" s="3">
        <v>0</v>
      </c>
      <c r="J61" s="3">
        <v>0.05445985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57">
        <v>0</v>
      </c>
      <c r="X61" s="8"/>
      <c r="Y61" s="37" t="s">
        <v>35</v>
      </c>
      <c r="Z61" s="60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8.54601158</v>
      </c>
      <c r="AG61" s="39">
        <v>12.10570307</v>
      </c>
      <c r="AH61" s="39">
        <v>9.9915822</v>
      </c>
      <c r="AI61" s="39">
        <v>10.60548966</v>
      </c>
      <c r="AJ61" s="39">
        <v>20.78736882</v>
      </c>
      <c r="AK61" s="39">
        <v>23.977831469999998</v>
      </c>
      <c r="AL61" s="39">
        <v>20.480712399999998</v>
      </c>
      <c r="AM61" s="39">
        <v>18.0586017</v>
      </c>
      <c r="AN61" s="39">
        <v>24.959811780000003</v>
      </c>
      <c r="AO61" s="39">
        <v>23.529751440000002</v>
      </c>
      <c r="AP61" s="39">
        <v>19.675694</v>
      </c>
      <c r="AQ61" s="39">
        <v>85.72089234</v>
      </c>
      <c r="AR61" s="39">
        <v>26.16795183</v>
      </c>
      <c r="AS61" s="39">
        <v>24.3249135</v>
      </c>
      <c r="AT61" s="59">
        <v>29.98467911</v>
      </c>
      <c r="AU61" s="8"/>
      <c r="AV61" s="22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8"/>
      <c r="BI61" s="22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23"/>
    </row>
    <row r="62" spans="2:86" ht="15">
      <c r="B62" s="37" t="s">
        <v>36</v>
      </c>
      <c r="C62" s="42">
        <v>0</v>
      </c>
      <c r="D62" s="3">
        <v>0</v>
      </c>
      <c r="E62" s="3">
        <v>0</v>
      </c>
      <c r="F62" s="3">
        <v>0</v>
      </c>
      <c r="G62" s="3">
        <v>0.57188939</v>
      </c>
      <c r="H62" s="3">
        <v>0.00221421</v>
      </c>
      <c r="I62" s="3">
        <v>0</v>
      </c>
      <c r="J62" s="3">
        <v>0.002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57">
        <v>0</v>
      </c>
      <c r="X62" s="8"/>
      <c r="Y62" s="37" t="s">
        <v>36</v>
      </c>
      <c r="Z62" s="60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584.4764823</v>
      </c>
      <c r="AG62" s="39">
        <v>579.9022792100001</v>
      </c>
      <c r="AH62" s="39">
        <v>594.4549259199999</v>
      </c>
      <c r="AI62" s="39">
        <v>691.44648798</v>
      </c>
      <c r="AJ62" s="39">
        <v>765.18061349</v>
      </c>
      <c r="AK62" s="39">
        <v>840.0543652599999</v>
      </c>
      <c r="AL62" s="39">
        <v>940.96876128</v>
      </c>
      <c r="AM62" s="39">
        <v>937.0928028999999</v>
      </c>
      <c r="AN62" s="39">
        <v>1037.38261455</v>
      </c>
      <c r="AO62" s="39">
        <v>1102.73318203</v>
      </c>
      <c r="AP62" s="39">
        <v>1137.9614944300001</v>
      </c>
      <c r="AQ62" s="39">
        <v>1215.99307506</v>
      </c>
      <c r="AR62" s="39">
        <v>1266.33738761</v>
      </c>
      <c r="AS62" s="39">
        <v>1514.5165148699998</v>
      </c>
      <c r="AT62" s="59">
        <v>1752.797691150001</v>
      </c>
      <c r="AU62" s="8"/>
      <c r="AV62" s="22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8"/>
      <c r="BI62" s="22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23"/>
    </row>
    <row r="63" spans="2:86" ht="15">
      <c r="B63" s="37" t="s">
        <v>37</v>
      </c>
      <c r="C63" s="42">
        <v>0</v>
      </c>
      <c r="D63" s="3">
        <v>0</v>
      </c>
      <c r="E63" s="3">
        <v>0</v>
      </c>
      <c r="F63" s="3">
        <v>0</v>
      </c>
      <c r="G63" s="3">
        <v>0.05081462</v>
      </c>
      <c r="H63" s="3">
        <v>0.02373683</v>
      </c>
      <c r="I63" s="3">
        <v>0</v>
      </c>
      <c r="J63" s="3">
        <v>0.002</v>
      </c>
      <c r="K63" s="3">
        <v>0</v>
      </c>
      <c r="L63" s="3">
        <v>0.0027789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57"/>
      <c r="X63" s="8"/>
      <c r="Y63" s="37" t="s">
        <v>37</v>
      </c>
      <c r="Z63" s="60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14.08725742</v>
      </c>
      <c r="AG63" s="39">
        <v>19.51170382</v>
      </c>
      <c r="AH63" s="39">
        <v>24.64688048</v>
      </c>
      <c r="AI63" s="39">
        <v>26.12438396</v>
      </c>
      <c r="AJ63" s="39">
        <v>26.81509813</v>
      </c>
      <c r="AK63" s="39">
        <v>21.55627852</v>
      </c>
      <c r="AL63" s="39">
        <v>28.484018850000002</v>
      </c>
      <c r="AM63" s="39">
        <v>48.14609982</v>
      </c>
      <c r="AN63" s="39">
        <v>35.16251031</v>
      </c>
      <c r="AO63" s="39">
        <v>41.17014525</v>
      </c>
      <c r="AP63" s="39">
        <v>33.51060948</v>
      </c>
      <c r="AQ63" s="39">
        <v>49.44156281</v>
      </c>
      <c r="AR63" s="39">
        <v>34.51187947</v>
      </c>
      <c r="AS63" s="39">
        <v>45.31503135</v>
      </c>
      <c r="AT63" s="59"/>
      <c r="AU63" s="8"/>
      <c r="AV63" s="22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8"/>
      <c r="BI63" s="22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23"/>
    </row>
    <row r="64" spans="2:86" ht="15.75" thickBot="1">
      <c r="B64" s="37" t="s">
        <v>38</v>
      </c>
      <c r="C64" s="42">
        <v>0</v>
      </c>
      <c r="D64" s="3">
        <v>0</v>
      </c>
      <c r="E64" s="3">
        <v>0</v>
      </c>
      <c r="F64" s="3">
        <v>0</v>
      </c>
      <c r="G64" s="3">
        <v>0.00025</v>
      </c>
      <c r="H64" s="3">
        <v>0</v>
      </c>
      <c r="I64" s="3">
        <v>0</v>
      </c>
      <c r="J64" s="3">
        <v>0.00266514</v>
      </c>
      <c r="K64" s="3">
        <v>0</v>
      </c>
      <c r="L64" s="3">
        <v>0.0005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57"/>
      <c r="X64" s="8"/>
      <c r="Y64" s="37" t="s">
        <v>38</v>
      </c>
      <c r="Z64" s="60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21.09356517</v>
      </c>
      <c r="AG64" s="39">
        <v>23.70879503</v>
      </c>
      <c r="AH64" s="39">
        <v>22.988135120000003</v>
      </c>
      <c r="AI64" s="39">
        <v>28.26129193</v>
      </c>
      <c r="AJ64" s="39">
        <v>33.35254991</v>
      </c>
      <c r="AK64" s="39">
        <v>21.12372856</v>
      </c>
      <c r="AL64" s="39">
        <v>27.40485885</v>
      </c>
      <c r="AM64" s="39">
        <v>38.46068331</v>
      </c>
      <c r="AN64" s="39">
        <v>36.26894351</v>
      </c>
      <c r="AO64" s="39">
        <v>40.228753399999995</v>
      </c>
      <c r="AP64" s="39">
        <v>59.556922469999996</v>
      </c>
      <c r="AQ64" s="39">
        <v>98.83412431</v>
      </c>
      <c r="AR64" s="39">
        <v>123.19479703</v>
      </c>
      <c r="AS64" s="39">
        <v>135.65211175</v>
      </c>
      <c r="AT64" s="59"/>
      <c r="AU64" s="8"/>
      <c r="AV64" s="22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8"/>
      <c r="BI64" s="22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23"/>
    </row>
    <row r="65" spans="2:86" ht="15.75" thickBot="1">
      <c r="B65" s="35" t="s">
        <v>3</v>
      </c>
      <c r="C65" s="43">
        <f>SUM(C53:C64)</f>
        <v>0</v>
      </c>
      <c r="D65" s="36">
        <f>SUM(D53:D64)</f>
        <v>0</v>
      </c>
      <c r="E65" s="36">
        <f aca="true" t="shared" si="4" ref="E65:R65">SUM(E53:E64)</f>
        <v>0</v>
      </c>
      <c r="F65" s="36">
        <f t="shared" si="4"/>
        <v>0</v>
      </c>
      <c r="G65" s="36">
        <f t="shared" si="4"/>
        <v>0.7829558300000001</v>
      </c>
      <c r="H65" s="36">
        <f t="shared" si="4"/>
        <v>0.07577179</v>
      </c>
      <c r="I65" s="36">
        <f t="shared" si="4"/>
        <v>0.00900846</v>
      </c>
      <c r="J65" s="36">
        <f t="shared" si="4"/>
        <v>0.10215935</v>
      </c>
      <c r="K65" s="36">
        <f t="shared" si="4"/>
        <v>0.01246539</v>
      </c>
      <c r="L65" s="36">
        <f t="shared" si="4"/>
        <v>0.0043167399999999995</v>
      </c>
      <c r="M65" s="36">
        <f t="shared" si="4"/>
        <v>0.000795</v>
      </c>
      <c r="N65" s="36">
        <f t="shared" si="4"/>
        <v>0</v>
      </c>
      <c r="O65" s="36">
        <f t="shared" si="4"/>
        <v>0</v>
      </c>
      <c r="P65" s="36">
        <f t="shared" si="4"/>
        <v>0</v>
      </c>
      <c r="Q65" s="36">
        <f t="shared" si="4"/>
        <v>0</v>
      </c>
      <c r="R65" s="36">
        <f t="shared" si="4"/>
        <v>0</v>
      </c>
      <c r="S65" s="36">
        <v>0</v>
      </c>
      <c r="T65" s="36">
        <f>SUM(T53:T64)</f>
        <v>0</v>
      </c>
      <c r="U65" s="36">
        <v>0</v>
      </c>
      <c r="V65" s="36">
        <f>SUM(V53:V64)</f>
        <v>0</v>
      </c>
      <c r="W65" s="58">
        <f>SUM(W53:W64)</f>
        <v>0</v>
      </c>
      <c r="X65" s="8"/>
      <c r="Y65" s="35" t="s">
        <v>3</v>
      </c>
      <c r="Z65" s="43">
        <f>SUM(Z53:Z64)</f>
        <v>0</v>
      </c>
      <c r="AA65" s="36">
        <f>SUM(AA53:AA64)</f>
        <v>0</v>
      </c>
      <c r="AB65" s="36">
        <f aca="true" t="shared" si="5" ref="AB65:AO65">SUM(AB53:AB64)</f>
        <v>0</v>
      </c>
      <c r="AC65" s="36">
        <f t="shared" si="5"/>
        <v>0</v>
      </c>
      <c r="AD65" s="36">
        <f t="shared" si="5"/>
        <v>0</v>
      </c>
      <c r="AE65" s="36">
        <f t="shared" si="5"/>
        <v>0</v>
      </c>
      <c r="AF65" s="36">
        <f t="shared" si="5"/>
        <v>1828.64645224</v>
      </c>
      <c r="AG65" s="36">
        <f t="shared" si="5"/>
        <v>2529.9822011200004</v>
      </c>
      <c r="AH65" s="36">
        <f t="shared" si="5"/>
        <v>2571.48043541</v>
      </c>
      <c r="AI65" s="36">
        <f t="shared" si="5"/>
        <v>2844.7243505900005</v>
      </c>
      <c r="AJ65" s="36">
        <f t="shared" si="5"/>
        <v>3242.75175476</v>
      </c>
      <c r="AK65" s="36">
        <f t="shared" si="5"/>
        <v>3533.46565876</v>
      </c>
      <c r="AL65" s="36">
        <f t="shared" si="5"/>
        <v>3905.56952296</v>
      </c>
      <c r="AM65" s="36">
        <f t="shared" si="5"/>
        <v>4070.31051797</v>
      </c>
      <c r="AN65" s="36">
        <f t="shared" si="5"/>
        <v>4352.165750949999</v>
      </c>
      <c r="AO65" s="36">
        <f t="shared" si="5"/>
        <v>4645.903061059999</v>
      </c>
      <c r="AP65" s="36">
        <v>4766.00167715</v>
      </c>
      <c r="AQ65" s="36">
        <f>SUM(AQ53:AQ64)</f>
        <v>5067.431658539999</v>
      </c>
      <c r="AR65" s="36">
        <v>5389.265446809999</v>
      </c>
      <c r="AS65" s="36">
        <f>SUM(AS53:AS64)</f>
        <v>6118.747346889999</v>
      </c>
      <c r="AT65" s="58">
        <f>SUM(AT53:AT64)</f>
        <v>7012.72225579</v>
      </c>
      <c r="AU65" s="8"/>
      <c r="AV65" s="22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8"/>
      <c r="BI65" s="22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23"/>
    </row>
    <row r="66" spans="2:85" ht="15">
      <c r="B66" s="4" t="s">
        <v>4</v>
      </c>
      <c r="C66" s="4"/>
      <c r="D66" s="4"/>
      <c r="E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8"/>
      <c r="Q66" s="8"/>
      <c r="R66" s="8"/>
      <c r="S66" s="8"/>
      <c r="T66" s="8"/>
      <c r="U66" s="8"/>
      <c r="V66" s="8"/>
      <c r="W66" s="8"/>
      <c r="X66" s="4"/>
      <c r="Y66" s="4" t="s">
        <v>4</v>
      </c>
      <c r="Z66" s="4"/>
      <c r="AA66" s="4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8"/>
      <c r="AN66" s="8"/>
      <c r="AO66" s="8"/>
      <c r="AP66" s="8"/>
      <c r="AQ66" s="8"/>
      <c r="AR66" s="8"/>
      <c r="AS66" s="8"/>
      <c r="AT66" s="8"/>
      <c r="AU66" s="22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8"/>
      <c r="BH66" s="22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23"/>
    </row>
    <row r="67" spans="2:85" ht="15">
      <c r="B67" s="73" t="s">
        <v>5</v>
      </c>
      <c r="C67" s="73"/>
      <c r="D67" s="73"/>
      <c r="E67" s="73"/>
      <c r="F67" s="6"/>
      <c r="G67" s="6"/>
      <c r="H67" s="6"/>
      <c r="I67" s="6"/>
      <c r="J67" s="6"/>
      <c r="K67" s="6"/>
      <c r="L67" s="6"/>
      <c r="M67" s="6"/>
      <c r="N67" s="6"/>
      <c r="O67" s="6"/>
      <c r="P67" s="8"/>
      <c r="Q67" s="8"/>
      <c r="R67" s="8"/>
      <c r="S67" s="8"/>
      <c r="T67" s="8"/>
      <c r="U67" s="8"/>
      <c r="V67" s="8"/>
      <c r="W67" s="8"/>
      <c r="X67" s="50"/>
      <c r="Y67" s="50" t="s">
        <v>5</v>
      </c>
      <c r="Z67" s="50"/>
      <c r="AA67" s="50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8"/>
      <c r="AN67" s="8"/>
      <c r="AO67" s="8"/>
      <c r="AP67" s="8"/>
      <c r="AQ67" s="8"/>
      <c r="AR67" s="8"/>
      <c r="AS67" s="8"/>
      <c r="AT67" s="8"/>
      <c r="AU67" s="22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8"/>
      <c r="BH67" s="22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23"/>
    </row>
    <row r="68" spans="2:85" ht="15">
      <c r="B68" s="2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8"/>
      <c r="Q68" s="8"/>
      <c r="R68" s="8"/>
      <c r="S68" s="8"/>
      <c r="T68" s="8"/>
      <c r="U68" s="8"/>
      <c r="V68" s="8"/>
      <c r="W68" s="8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8"/>
      <c r="AN68" s="8"/>
      <c r="AO68" s="8"/>
      <c r="AP68" s="8"/>
      <c r="AQ68" s="8"/>
      <c r="AR68" s="8"/>
      <c r="AS68" s="8"/>
      <c r="AT68" s="8"/>
      <c r="AU68" s="22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8"/>
      <c r="BH68" s="22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23"/>
    </row>
    <row r="69" spans="2:85" ht="15.75" customHeight="1">
      <c r="B69" s="75" t="s">
        <v>11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49"/>
      <c r="Y69" s="75" t="s">
        <v>12</v>
      </c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22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8"/>
      <c r="BH69" s="22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23"/>
    </row>
    <row r="70" spans="2:85" ht="15">
      <c r="B70" s="72" t="s">
        <v>39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Y70" s="72" t="s">
        <v>39</v>
      </c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22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8"/>
      <c r="BH70" s="22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23"/>
    </row>
    <row r="71" spans="2:85" ht="15.75" thickBot="1">
      <c r="B71" s="71" t="s">
        <v>1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Y71" s="71" t="s">
        <v>1</v>
      </c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22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8"/>
      <c r="BH71" s="22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23"/>
    </row>
    <row r="72" spans="2:86" ht="33" customHeight="1" thickBot="1">
      <c r="B72" s="33" t="s">
        <v>2</v>
      </c>
      <c r="C72" s="41">
        <v>2003</v>
      </c>
      <c r="D72" s="34">
        <v>2004</v>
      </c>
      <c r="E72" s="34">
        <v>2005</v>
      </c>
      <c r="F72" s="34">
        <v>2006</v>
      </c>
      <c r="G72" s="34">
        <v>2007</v>
      </c>
      <c r="H72" s="34">
        <v>2008</v>
      </c>
      <c r="I72" s="34">
        <v>2009</v>
      </c>
      <c r="J72" s="34">
        <v>2010</v>
      </c>
      <c r="K72" s="34">
        <v>2011</v>
      </c>
      <c r="L72" s="34">
        <v>2012</v>
      </c>
      <c r="M72" s="34">
        <v>2013</v>
      </c>
      <c r="N72" s="34">
        <v>2014</v>
      </c>
      <c r="O72" s="34">
        <v>2015</v>
      </c>
      <c r="P72" s="34">
        <v>2016</v>
      </c>
      <c r="Q72" s="34">
        <v>2017</v>
      </c>
      <c r="R72" s="34">
        <v>2018</v>
      </c>
      <c r="S72" s="34">
        <v>2019</v>
      </c>
      <c r="T72" s="34">
        <v>2020</v>
      </c>
      <c r="U72" s="34">
        <v>2021</v>
      </c>
      <c r="V72" s="34">
        <v>2022</v>
      </c>
      <c r="W72" s="55">
        <v>2023</v>
      </c>
      <c r="X72" s="51"/>
      <c r="Y72" s="33" t="s">
        <v>2</v>
      </c>
      <c r="Z72" s="41">
        <v>2003</v>
      </c>
      <c r="AA72" s="34">
        <v>2004</v>
      </c>
      <c r="AB72" s="34">
        <v>2005</v>
      </c>
      <c r="AC72" s="34">
        <v>2006</v>
      </c>
      <c r="AD72" s="34">
        <v>2007</v>
      </c>
      <c r="AE72" s="34">
        <v>2008</v>
      </c>
      <c r="AF72" s="34">
        <v>2009</v>
      </c>
      <c r="AG72" s="34">
        <v>2010</v>
      </c>
      <c r="AH72" s="34">
        <v>2011</v>
      </c>
      <c r="AI72" s="34">
        <v>2012</v>
      </c>
      <c r="AJ72" s="34">
        <v>2013</v>
      </c>
      <c r="AK72" s="34">
        <v>2014</v>
      </c>
      <c r="AL72" s="34">
        <v>2015</v>
      </c>
      <c r="AM72" s="34">
        <v>2016</v>
      </c>
      <c r="AN72" s="34">
        <v>2017</v>
      </c>
      <c r="AO72" s="34">
        <v>2018</v>
      </c>
      <c r="AP72" s="34">
        <v>2019</v>
      </c>
      <c r="AQ72" s="34">
        <v>2020</v>
      </c>
      <c r="AR72" s="34">
        <v>2021</v>
      </c>
      <c r="AS72" s="34">
        <v>2022</v>
      </c>
      <c r="AT72" s="55">
        <v>2023</v>
      </c>
      <c r="AU72" s="8"/>
      <c r="AV72" s="22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8"/>
      <c r="BI72" s="22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23"/>
    </row>
    <row r="73" spans="2:86" ht="4.5" customHeight="1"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56"/>
      <c r="X73" s="8"/>
      <c r="Y73" s="46"/>
      <c r="Z73" s="47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56"/>
      <c r="AU73" s="8"/>
      <c r="AV73" s="22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8"/>
      <c r="BI73" s="22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23"/>
    </row>
    <row r="74" spans="2:86" ht="15">
      <c r="B74" s="37" t="s">
        <v>27</v>
      </c>
      <c r="C74" s="60">
        <v>361.46959725</v>
      </c>
      <c r="D74" s="39">
        <v>338.03026352</v>
      </c>
      <c r="E74" s="39">
        <v>379.16734725</v>
      </c>
      <c r="F74" s="39">
        <v>436.54776182</v>
      </c>
      <c r="G74" s="39">
        <v>601.6382681800001</v>
      </c>
      <c r="H74" s="39">
        <v>684.7161398000001</v>
      </c>
      <c r="I74" s="39">
        <v>665.5157111</v>
      </c>
      <c r="J74" s="39">
        <v>723.76338813</v>
      </c>
      <c r="K74" s="39">
        <v>784.60239862</v>
      </c>
      <c r="L74" s="39">
        <v>904.73473726</v>
      </c>
      <c r="M74" s="39">
        <v>999.53027305</v>
      </c>
      <c r="N74" s="39">
        <v>1024.21183256</v>
      </c>
      <c r="O74" s="39">
        <v>1129.3150103599999</v>
      </c>
      <c r="P74" s="39">
        <v>1131.91357011</v>
      </c>
      <c r="Q74" s="39">
        <v>1207.05832659</v>
      </c>
      <c r="R74" s="39">
        <v>1376.428249</v>
      </c>
      <c r="S74" s="39">
        <v>1371.69190777</v>
      </c>
      <c r="T74" s="39">
        <v>1576.9299681</v>
      </c>
      <c r="U74" s="39">
        <v>1783.26978343</v>
      </c>
      <c r="V74" s="39">
        <v>1717.89184132</v>
      </c>
      <c r="W74" s="59">
        <v>2000.1930876099998</v>
      </c>
      <c r="X74" s="8"/>
      <c r="Y74" s="37" t="s">
        <v>27</v>
      </c>
      <c r="Z74" s="60">
        <v>462.00615894</v>
      </c>
      <c r="AA74" s="39">
        <v>465.65424928000004</v>
      </c>
      <c r="AB74" s="39">
        <v>491.94977429</v>
      </c>
      <c r="AC74" s="39">
        <v>594.21493491</v>
      </c>
      <c r="AD74" s="39">
        <v>751.99061748</v>
      </c>
      <c r="AE74" s="39">
        <v>817.71177429</v>
      </c>
      <c r="AF74" s="39">
        <v>632.8239903100001</v>
      </c>
      <c r="AG74" s="39">
        <v>723.5935316900001</v>
      </c>
      <c r="AH74" s="39">
        <v>830.77014065</v>
      </c>
      <c r="AI74" s="39">
        <v>940.58165962</v>
      </c>
      <c r="AJ74" s="39">
        <v>1062.19829187</v>
      </c>
      <c r="AK74" s="39">
        <v>1130.50200434</v>
      </c>
      <c r="AL74" s="39">
        <v>962.87537727</v>
      </c>
      <c r="AM74" s="39">
        <v>911.3708401900001</v>
      </c>
      <c r="AN74" s="39">
        <v>1014.20859803</v>
      </c>
      <c r="AO74" s="39">
        <v>1103.57731971</v>
      </c>
      <c r="AP74" s="39">
        <v>1248.97138698</v>
      </c>
      <c r="AQ74" s="39">
        <v>1283.1981751300002</v>
      </c>
      <c r="AR74" s="39">
        <v>1291.27201858</v>
      </c>
      <c r="AS74" s="39">
        <v>1766.22140596</v>
      </c>
      <c r="AT74" s="59">
        <v>1940.64918651</v>
      </c>
      <c r="AU74" s="8"/>
      <c r="AV74" s="22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8"/>
      <c r="BI74" s="22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23"/>
    </row>
    <row r="75" spans="2:86" ht="15">
      <c r="B75" s="37" t="s">
        <v>28</v>
      </c>
      <c r="C75" s="60">
        <v>233.48650287999996</v>
      </c>
      <c r="D75" s="39">
        <v>261.01047437</v>
      </c>
      <c r="E75" s="39">
        <v>266.61452757</v>
      </c>
      <c r="F75" s="39">
        <v>295.49296644</v>
      </c>
      <c r="G75" s="39">
        <v>408.67209029</v>
      </c>
      <c r="H75" s="39">
        <v>434.38753109000004</v>
      </c>
      <c r="I75" s="39">
        <v>464.6365315</v>
      </c>
      <c r="J75" s="39">
        <v>499.70739795</v>
      </c>
      <c r="K75" s="39">
        <v>557.31346931</v>
      </c>
      <c r="L75" s="39">
        <v>607.53525881</v>
      </c>
      <c r="M75" s="39">
        <v>684.0192624299999</v>
      </c>
      <c r="N75" s="39">
        <v>753.85580912</v>
      </c>
      <c r="O75" s="39">
        <v>821.14260416</v>
      </c>
      <c r="P75" s="39">
        <v>905.62191322</v>
      </c>
      <c r="Q75" s="39">
        <v>985.0218499</v>
      </c>
      <c r="R75" s="39">
        <v>1057.82291086</v>
      </c>
      <c r="S75" s="39">
        <v>1078.19456605</v>
      </c>
      <c r="T75" s="39">
        <v>1160.27689673</v>
      </c>
      <c r="U75" s="39">
        <v>1305.67516069</v>
      </c>
      <c r="V75" s="39">
        <v>1326.6690663299999</v>
      </c>
      <c r="W75" s="59">
        <v>1613.58731227</v>
      </c>
      <c r="X75" s="8"/>
      <c r="Y75" s="37" t="s">
        <v>28</v>
      </c>
      <c r="Z75" s="60">
        <v>389.66785639</v>
      </c>
      <c r="AA75" s="39">
        <v>447.40665363</v>
      </c>
      <c r="AB75" s="39">
        <v>460.64982233</v>
      </c>
      <c r="AC75" s="39">
        <v>523.19601883</v>
      </c>
      <c r="AD75" s="39">
        <v>670.7675817</v>
      </c>
      <c r="AE75" s="39">
        <v>864.1169095299999</v>
      </c>
      <c r="AF75" s="39">
        <v>670.7010723100001</v>
      </c>
      <c r="AG75" s="39">
        <v>741.91700286</v>
      </c>
      <c r="AH75" s="39">
        <v>833.7703071699999</v>
      </c>
      <c r="AI75" s="39">
        <v>964.2108766599999</v>
      </c>
      <c r="AJ75" s="39">
        <v>960.58802236</v>
      </c>
      <c r="AK75" s="39">
        <v>923.86015136</v>
      </c>
      <c r="AL75" s="39">
        <v>938.68194248</v>
      </c>
      <c r="AM75" s="39">
        <v>919.7516837000001</v>
      </c>
      <c r="AN75" s="39">
        <v>967.0781924099999</v>
      </c>
      <c r="AO75" s="39">
        <v>1028.42618053</v>
      </c>
      <c r="AP75" s="39">
        <v>1117.80224506</v>
      </c>
      <c r="AQ75" s="39">
        <v>1166.62454927</v>
      </c>
      <c r="AR75" s="39">
        <v>1365.02493978</v>
      </c>
      <c r="AS75" s="39">
        <v>1758.10529477</v>
      </c>
      <c r="AT75" s="59">
        <v>1752.0499015599999</v>
      </c>
      <c r="AU75" s="8"/>
      <c r="AV75" s="22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8"/>
      <c r="BI75" s="22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23"/>
    </row>
    <row r="76" spans="2:86" ht="15">
      <c r="B76" s="37" t="s">
        <v>29</v>
      </c>
      <c r="C76" s="60">
        <v>242.2178829</v>
      </c>
      <c r="D76" s="39">
        <v>253.55186839</v>
      </c>
      <c r="E76" s="39">
        <v>255.0490805</v>
      </c>
      <c r="F76" s="39">
        <v>296.15643224</v>
      </c>
      <c r="G76" s="39">
        <v>402.89826778</v>
      </c>
      <c r="H76" s="39">
        <v>406.07149726</v>
      </c>
      <c r="I76" s="39">
        <v>456.07252944</v>
      </c>
      <c r="J76" s="39">
        <v>492.21434311</v>
      </c>
      <c r="K76" s="39">
        <v>656.8514381</v>
      </c>
      <c r="L76" s="39">
        <v>584.81602597</v>
      </c>
      <c r="M76" s="39">
        <v>690.28710447</v>
      </c>
      <c r="N76" s="39">
        <v>752.1222906</v>
      </c>
      <c r="O76" s="39">
        <v>840.38545338</v>
      </c>
      <c r="P76" s="39">
        <v>868.12499973</v>
      </c>
      <c r="Q76" s="39">
        <v>978.0542331900001</v>
      </c>
      <c r="R76" s="39">
        <v>1019.78359498</v>
      </c>
      <c r="S76" s="39">
        <v>1074.46634565</v>
      </c>
      <c r="T76" s="39">
        <v>582.1728318400001</v>
      </c>
      <c r="U76" s="39">
        <v>1248.5375669</v>
      </c>
      <c r="V76" s="39">
        <v>1308.4447888599998</v>
      </c>
      <c r="W76" s="59">
        <v>1586.38016573</v>
      </c>
      <c r="X76" s="8"/>
      <c r="Y76" s="37" t="s">
        <v>29</v>
      </c>
      <c r="Z76" s="60">
        <v>443.57881183</v>
      </c>
      <c r="AA76" s="39">
        <v>527.77456955</v>
      </c>
      <c r="AB76" s="39">
        <v>552.2567244300001</v>
      </c>
      <c r="AC76" s="39">
        <v>626.68825026</v>
      </c>
      <c r="AD76" s="39">
        <v>793.5135440299999</v>
      </c>
      <c r="AE76" s="39">
        <v>849.1102007000001</v>
      </c>
      <c r="AF76" s="39">
        <v>705.5456239700001</v>
      </c>
      <c r="AG76" s="39">
        <v>844.8806475399999</v>
      </c>
      <c r="AH76" s="39">
        <v>1031.3688128</v>
      </c>
      <c r="AI76" s="39">
        <v>1117.44183092</v>
      </c>
      <c r="AJ76" s="39">
        <v>965.5765041699999</v>
      </c>
      <c r="AK76" s="39">
        <v>1033.97842782</v>
      </c>
      <c r="AL76" s="39">
        <v>1091.22416762</v>
      </c>
      <c r="AM76" s="39">
        <v>987.45982467</v>
      </c>
      <c r="AN76" s="39">
        <v>1126.2508232999999</v>
      </c>
      <c r="AO76" s="39">
        <v>1070.31375389</v>
      </c>
      <c r="AP76" s="39">
        <v>1213.24872811</v>
      </c>
      <c r="AQ76" s="39">
        <v>1077.3341078699998</v>
      </c>
      <c r="AR76" s="39">
        <v>1627.61941723</v>
      </c>
      <c r="AS76" s="39">
        <v>2110.32257459</v>
      </c>
      <c r="AT76" s="59">
        <v>2040.5328904100002</v>
      </c>
      <c r="AU76" s="8"/>
      <c r="AV76" s="22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8"/>
      <c r="BI76" s="22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23"/>
    </row>
    <row r="77" spans="2:86" ht="15">
      <c r="B77" s="37" t="s">
        <v>30</v>
      </c>
      <c r="C77" s="60">
        <v>272.07322272000005</v>
      </c>
      <c r="D77" s="39">
        <v>293.77833855</v>
      </c>
      <c r="E77" s="39">
        <v>314.28367837999997</v>
      </c>
      <c r="F77" s="39">
        <v>345.83792638</v>
      </c>
      <c r="G77" s="39">
        <v>506.31525631</v>
      </c>
      <c r="H77" s="39">
        <v>488.72748094</v>
      </c>
      <c r="I77" s="39">
        <v>529.3634847</v>
      </c>
      <c r="J77" s="39">
        <v>557.74396585</v>
      </c>
      <c r="K77" s="39">
        <v>668.00234199</v>
      </c>
      <c r="L77" s="39">
        <v>689.92668447</v>
      </c>
      <c r="M77" s="39">
        <v>751.75467924</v>
      </c>
      <c r="N77" s="39">
        <v>821.6514838400001</v>
      </c>
      <c r="O77" s="39">
        <v>899.6814707000001</v>
      </c>
      <c r="P77" s="39">
        <v>926.3863448200001</v>
      </c>
      <c r="Q77" s="39">
        <v>1046.45106822</v>
      </c>
      <c r="R77" s="39">
        <v>1070.97715829</v>
      </c>
      <c r="S77" s="39">
        <v>1156.66182566</v>
      </c>
      <c r="T77" s="39">
        <v>1639.2662682100001</v>
      </c>
      <c r="U77" s="39">
        <v>1362.78040895</v>
      </c>
      <c r="V77" s="39">
        <v>1451.94361476</v>
      </c>
      <c r="W77" s="59">
        <v>1794.04671745</v>
      </c>
      <c r="X77" s="8"/>
      <c r="Y77" s="37" t="s">
        <v>30</v>
      </c>
      <c r="Z77" s="60">
        <v>418.79916616</v>
      </c>
      <c r="AA77" s="39">
        <v>495.41169472</v>
      </c>
      <c r="AB77" s="39">
        <v>550.6352862699999</v>
      </c>
      <c r="AC77" s="39">
        <v>553.19950566</v>
      </c>
      <c r="AD77" s="39">
        <v>663.5317056499999</v>
      </c>
      <c r="AE77" s="39">
        <v>990.70182837</v>
      </c>
      <c r="AF77" s="39">
        <v>686.87011248</v>
      </c>
      <c r="AG77" s="39">
        <v>871.10773064</v>
      </c>
      <c r="AH77" s="39">
        <v>938.13248137</v>
      </c>
      <c r="AI77" s="39">
        <v>938.6686775</v>
      </c>
      <c r="AJ77" s="39">
        <v>1126.0776694</v>
      </c>
      <c r="AK77" s="39">
        <v>1087.6313635</v>
      </c>
      <c r="AL77" s="39">
        <v>1010.36358804</v>
      </c>
      <c r="AM77" s="39">
        <v>1057.93159159</v>
      </c>
      <c r="AN77" s="39">
        <v>916.12237303</v>
      </c>
      <c r="AO77" s="39">
        <v>1193.62592371</v>
      </c>
      <c r="AP77" s="39">
        <v>1195.44642746</v>
      </c>
      <c r="AQ77" s="39">
        <v>949.89397483</v>
      </c>
      <c r="AR77" s="39">
        <v>1550.31562773</v>
      </c>
      <c r="AS77" s="39">
        <v>1942.8557936099999</v>
      </c>
      <c r="AT77" s="59">
        <v>1741.87126041</v>
      </c>
      <c r="AU77" s="8"/>
      <c r="AV77" s="22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8"/>
      <c r="BI77" s="22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23"/>
    </row>
    <row r="78" spans="2:86" ht="15">
      <c r="B78" s="37" t="s">
        <v>31</v>
      </c>
      <c r="C78" s="60">
        <v>247.30976433</v>
      </c>
      <c r="D78" s="39">
        <v>262.39301667</v>
      </c>
      <c r="E78" s="39">
        <v>277.83943117</v>
      </c>
      <c r="F78" s="39">
        <v>300.21772839</v>
      </c>
      <c r="G78" s="39">
        <v>431.51992832999997</v>
      </c>
      <c r="H78" s="39">
        <v>407.84378016000005</v>
      </c>
      <c r="I78" s="39">
        <v>468.41124597000004</v>
      </c>
      <c r="J78" s="39">
        <v>462.59076713999997</v>
      </c>
      <c r="K78" s="39">
        <v>568.4897525299999</v>
      </c>
      <c r="L78" s="39">
        <v>628.78849036</v>
      </c>
      <c r="M78" s="39">
        <v>727.76952416</v>
      </c>
      <c r="N78" s="39">
        <v>799.80401599</v>
      </c>
      <c r="O78" s="39">
        <v>840.05294141</v>
      </c>
      <c r="P78" s="39">
        <v>1122.9247917</v>
      </c>
      <c r="Q78" s="39">
        <v>1075.67512773</v>
      </c>
      <c r="R78" s="39">
        <v>1044.4970707100001</v>
      </c>
      <c r="S78" s="39">
        <v>1165.67775021</v>
      </c>
      <c r="T78" s="39">
        <v>993.80778948</v>
      </c>
      <c r="U78" s="39">
        <v>1289.8672116300002</v>
      </c>
      <c r="V78" s="39">
        <v>1414.4011785</v>
      </c>
      <c r="W78" s="59">
        <v>1753.3325340899999</v>
      </c>
      <c r="X78" s="8"/>
      <c r="Y78" s="37" t="s">
        <v>31</v>
      </c>
      <c r="Z78" s="60">
        <v>417.5812401</v>
      </c>
      <c r="AA78" s="39">
        <v>483.69631406</v>
      </c>
      <c r="AB78" s="39">
        <v>570.91519043</v>
      </c>
      <c r="AC78" s="39">
        <v>682.43664385</v>
      </c>
      <c r="AD78" s="39">
        <v>814.1763829700001</v>
      </c>
      <c r="AE78" s="39">
        <v>908.42338844</v>
      </c>
      <c r="AF78" s="39">
        <v>665.6187642000001</v>
      </c>
      <c r="AG78" s="39">
        <v>813.304515</v>
      </c>
      <c r="AH78" s="39">
        <v>1066.2704424600001</v>
      </c>
      <c r="AI78" s="39">
        <v>1146.80665499</v>
      </c>
      <c r="AJ78" s="39">
        <v>1068.84906711</v>
      </c>
      <c r="AK78" s="39">
        <v>1164.6620798699998</v>
      </c>
      <c r="AL78" s="39">
        <v>1068.62365701</v>
      </c>
      <c r="AM78" s="39">
        <v>1038.85660188</v>
      </c>
      <c r="AN78" s="39">
        <v>1077.1835452100001</v>
      </c>
      <c r="AO78" s="39">
        <v>1268.27592193</v>
      </c>
      <c r="AP78" s="39">
        <v>1335.64118736</v>
      </c>
      <c r="AQ78" s="39">
        <v>934.76134839</v>
      </c>
      <c r="AR78" s="39">
        <v>1600.8261482</v>
      </c>
      <c r="AS78" s="39">
        <v>2118.5710126500003</v>
      </c>
      <c r="AT78" s="59">
        <v>2123.09833846</v>
      </c>
      <c r="AU78" s="8"/>
      <c r="AV78" s="22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8"/>
      <c r="BI78" s="22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23"/>
    </row>
    <row r="79" spans="2:86" ht="15">
      <c r="B79" s="37" t="s">
        <v>32</v>
      </c>
      <c r="C79" s="60">
        <v>287.22957636999996</v>
      </c>
      <c r="D79" s="39">
        <v>298.43607296</v>
      </c>
      <c r="E79" s="39">
        <v>303.89138877</v>
      </c>
      <c r="F79" s="39">
        <v>311.50701595</v>
      </c>
      <c r="G79" s="39">
        <v>428.10324465</v>
      </c>
      <c r="H79" s="39">
        <v>453.71662252</v>
      </c>
      <c r="I79" s="39">
        <v>498.67633314</v>
      </c>
      <c r="J79" s="39">
        <v>513.3066399200001</v>
      </c>
      <c r="K79" s="39">
        <v>599.76639456</v>
      </c>
      <c r="L79" s="39">
        <v>657.2615729400001</v>
      </c>
      <c r="M79" s="39">
        <v>746.83277221</v>
      </c>
      <c r="N79" s="39">
        <v>816.3889021499999</v>
      </c>
      <c r="O79" s="39">
        <v>901.281216</v>
      </c>
      <c r="P79" s="39">
        <v>949.0600512799999</v>
      </c>
      <c r="Q79" s="39">
        <v>1254.68833244</v>
      </c>
      <c r="R79" s="39">
        <v>1090.4364998699998</v>
      </c>
      <c r="S79" s="39">
        <v>1144.08693185</v>
      </c>
      <c r="T79" s="39">
        <v>1001.9252052200001</v>
      </c>
      <c r="U79" s="39">
        <v>1329.93324968</v>
      </c>
      <c r="V79" s="39">
        <v>1513.49286528</v>
      </c>
      <c r="W79" s="59">
        <v>1722.8267836</v>
      </c>
      <c r="X79" s="8"/>
      <c r="Y79" s="37" t="s">
        <v>32</v>
      </c>
      <c r="Z79" s="60">
        <v>426.13694270999997</v>
      </c>
      <c r="AA79" s="39">
        <v>487.47767429000004</v>
      </c>
      <c r="AB79" s="39">
        <v>614.35292712</v>
      </c>
      <c r="AC79" s="39">
        <v>619.9217311699999</v>
      </c>
      <c r="AD79" s="39">
        <v>790.4697957000001</v>
      </c>
      <c r="AE79" s="39">
        <v>892.03975864</v>
      </c>
      <c r="AF79" s="39">
        <v>752.8649028000001</v>
      </c>
      <c r="AG79" s="39">
        <v>859.3315733300001</v>
      </c>
      <c r="AH79" s="39">
        <v>1049.51251179</v>
      </c>
      <c r="AI79" s="39">
        <v>1093.57266856</v>
      </c>
      <c r="AJ79" s="39">
        <v>972.82319731</v>
      </c>
      <c r="AK79" s="39">
        <v>1011.15893316</v>
      </c>
      <c r="AL79" s="39">
        <v>1017.41072935</v>
      </c>
      <c r="AM79" s="39">
        <v>1048.97607728</v>
      </c>
      <c r="AN79" s="39">
        <v>1099.70590632</v>
      </c>
      <c r="AO79" s="39">
        <v>1174.33360858</v>
      </c>
      <c r="AP79" s="39">
        <v>1160.6119253299998</v>
      </c>
      <c r="AQ79" s="39">
        <v>1008.74281696</v>
      </c>
      <c r="AR79" s="39">
        <v>1614.25930276</v>
      </c>
      <c r="AS79" s="39">
        <v>2125.05143417</v>
      </c>
      <c r="AT79" s="59">
        <v>2070.71636738</v>
      </c>
      <c r="AU79" s="8"/>
      <c r="AV79" s="22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8"/>
      <c r="BI79" s="22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23"/>
    </row>
    <row r="80" spans="2:86" ht="15">
      <c r="B80" s="37" t="s">
        <v>33</v>
      </c>
      <c r="C80" s="60">
        <v>345.554865</v>
      </c>
      <c r="D80" s="39">
        <v>331.5346343</v>
      </c>
      <c r="E80" s="39">
        <v>318.30386073</v>
      </c>
      <c r="F80" s="39">
        <v>361.67710611</v>
      </c>
      <c r="G80" s="39">
        <v>472.61556166</v>
      </c>
      <c r="H80" s="39">
        <v>507.80495972000006</v>
      </c>
      <c r="I80" s="39">
        <v>496.29923916</v>
      </c>
      <c r="J80" s="39">
        <v>561.99166499</v>
      </c>
      <c r="K80" s="39">
        <v>627.91789496</v>
      </c>
      <c r="L80" s="39">
        <v>703.19529021</v>
      </c>
      <c r="M80" s="39">
        <v>723.87638767</v>
      </c>
      <c r="N80" s="39">
        <v>836.83430995</v>
      </c>
      <c r="O80" s="39">
        <v>873.46534721</v>
      </c>
      <c r="P80" s="39">
        <v>1024.32056467</v>
      </c>
      <c r="Q80" s="39">
        <v>1024.23140577</v>
      </c>
      <c r="R80" s="39">
        <v>1078.22588954</v>
      </c>
      <c r="S80" s="39">
        <v>1228.17295674</v>
      </c>
      <c r="T80" s="39">
        <v>1070.64120373</v>
      </c>
      <c r="U80" s="39">
        <v>1317.75784806</v>
      </c>
      <c r="V80" s="39">
        <v>1503.23927284</v>
      </c>
      <c r="W80" s="59">
        <v>1710.7798724200002</v>
      </c>
      <c r="X80" s="8"/>
      <c r="Y80" s="37" t="s">
        <v>33</v>
      </c>
      <c r="Z80" s="60">
        <v>529.76765492</v>
      </c>
      <c r="AA80" s="39">
        <v>506.79150302</v>
      </c>
      <c r="AB80" s="39">
        <v>554.71614948</v>
      </c>
      <c r="AC80" s="39">
        <v>624.03733498</v>
      </c>
      <c r="AD80" s="39">
        <v>872.5755353100001</v>
      </c>
      <c r="AE80" s="39">
        <v>929.3033136399999</v>
      </c>
      <c r="AF80" s="39">
        <v>852.78980844</v>
      </c>
      <c r="AG80" s="39">
        <v>886.98542015</v>
      </c>
      <c r="AH80" s="39">
        <v>949.01929884</v>
      </c>
      <c r="AI80" s="39">
        <v>1033.56902171</v>
      </c>
      <c r="AJ80" s="39">
        <v>1097.3260996600002</v>
      </c>
      <c r="AK80" s="39">
        <v>1206.1075993499999</v>
      </c>
      <c r="AL80" s="39">
        <v>1173.85834141</v>
      </c>
      <c r="AM80" s="39">
        <v>963.30055591</v>
      </c>
      <c r="AN80" s="39">
        <v>1070.19781171</v>
      </c>
      <c r="AO80" s="39">
        <v>1215.91694576</v>
      </c>
      <c r="AP80" s="39">
        <v>1279.28446048</v>
      </c>
      <c r="AQ80" s="39">
        <v>1092.75220871</v>
      </c>
      <c r="AR80" s="39">
        <v>1730.7072853599998</v>
      </c>
      <c r="AS80" s="39">
        <v>2043.63838945</v>
      </c>
      <c r="AT80" s="59">
        <v>1996.8193494700001</v>
      </c>
      <c r="AU80" s="8"/>
      <c r="AV80" s="22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8"/>
      <c r="BI80" s="22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23"/>
    </row>
    <row r="81" spans="2:86" ht="15">
      <c r="B81" s="37" t="s">
        <v>34</v>
      </c>
      <c r="C81" s="60">
        <v>295.63419316000005</v>
      </c>
      <c r="D81" s="39">
        <v>289.75813989</v>
      </c>
      <c r="E81" s="39">
        <v>327.46824914</v>
      </c>
      <c r="F81" s="39">
        <v>387.82656704000004</v>
      </c>
      <c r="G81" s="39">
        <v>459.65991839</v>
      </c>
      <c r="H81" s="39">
        <v>463.53395101</v>
      </c>
      <c r="I81" s="39">
        <v>462.47908149</v>
      </c>
      <c r="J81" s="39">
        <v>570.56998007</v>
      </c>
      <c r="K81" s="39">
        <v>622.56621028</v>
      </c>
      <c r="L81" s="39">
        <v>685.72804509</v>
      </c>
      <c r="M81" s="39">
        <v>793.01121772</v>
      </c>
      <c r="N81" s="39">
        <v>882.2994074</v>
      </c>
      <c r="O81" s="39">
        <v>888.27005597</v>
      </c>
      <c r="P81" s="39">
        <v>1001.1180588999999</v>
      </c>
      <c r="Q81" s="39">
        <v>1084.13371301</v>
      </c>
      <c r="R81" s="39">
        <v>1094.05269086</v>
      </c>
      <c r="S81" s="39">
        <v>1227.16155424</v>
      </c>
      <c r="T81" s="39">
        <v>1165.0279621700001</v>
      </c>
      <c r="U81" s="39">
        <v>1333.05592264</v>
      </c>
      <c r="V81" s="39">
        <v>1548.68546292</v>
      </c>
      <c r="W81" s="59">
        <v>1780.27548546</v>
      </c>
      <c r="X81" s="8"/>
      <c r="Y81" s="37" t="s">
        <v>34</v>
      </c>
      <c r="Z81" s="60">
        <v>509.3910785</v>
      </c>
      <c r="AA81" s="39">
        <v>520.25793305</v>
      </c>
      <c r="AB81" s="39">
        <v>598.91713337</v>
      </c>
      <c r="AC81" s="39">
        <v>752.2936931900001</v>
      </c>
      <c r="AD81" s="39">
        <v>904.4241435800001</v>
      </c>
      <c r="AE81" s="39">
        <v>847.54545539</v>
      </c>
      <c r="AF81" s="39">
        <v>714.28606451</v>
      </c>
      <c r="AG81" s="39">
        <v>857.73152071</v>
      </c>
      <c r="AH81" s="39">
        <v>1078.25182019</v>
      </c>
      <c r="AI81" s="39">
        <v>1052.67867682</v>
      </c>
      <c r="AJ81" s="39">
        <v>1014.30087498</v>
      </c>
      <c r="AK81" s="39">
        <v>1060.1660115</v>
      </c>
      <c r="AL81" s="39">
        <v>1023.1785001799999</v>
      </c>
      <c r="AM81" s="39">
        <v>1096.06596827</v>
      </c>
      <c r="AN81" s="39">
        <v>1143.1111901900001</v>
      </c>
      <c r="AO81" s="39">
        <v>1248.31374342</v>
      </c>
      <c r="AP81" s="39">
        <v>1268.45820402</v>
      </c>
      <c r="AQ81" s="39">
        <v>1076.6030509700001</v>
      </c>
      <c r="AR81" s="39">
        <v>1712.68520347</v>
      </c>
      <c r="AS81" s="39">
        <v>2172.97812247</v>
      </c>
      <c r="AT81" s="59">
        <v>2181.9411394</v>
      </c>
      <c r="AU81" s="8"/>
      <c r="AV81" s="22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8"/>
      <c r="BI81" s="22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23"/>
    </row>
    <row r="82" spans="2:86" ht="15">
      <c r="B82" s="37" t="s">
        <v>35</v>
      </c>
      <c r="C82" s="60">
        <v>304.22244362999993</v>
      </c>
      <c r="D82" s="39">
        <v>330.89286774</v>
      </c>
      <c r="E82" s="39">
        <v>281.92454739</v>
      </c>
      <c r="F82" s="39">
        <v>388.00442041</v>
      </c>
      <c r="G82" s="39">
        <v>429.05221211</v>
      </c>
      <c r="H82" s="39">
        <v>458.34762376</v>
      </c>
      <c r="I82" s="39">
        <v>480.70676740000005</v>
      </c>
      <c r="J82" s="39">
        <v>533.26638815</v>
      </c>
      <c r="K82" s="39">
        <v>600.22848277</v>
      </c>
      <c r="L82" s="39">
        <v>703.65133687</v>
      </c>
      <c r="M82" s="39">
        <v>769.08362747</v>
      </c>
      <c r="N82" s="39">
        <v>839.1455270800001</v>
      </c>
      <c r="O82" s="39">
        <v>850.68447311</v>
      </c>
      <c r="P82" s="39">
        <v>942.4461509099999</v>
      </c>
      <c r="Q82" s="39">
        <v>1063.84823897</v>
      </c>
      <c r="R82" s="39">
        <v>1049.94103667</v>
      </c>
      <c r="S82" s="39">
        <v>1179.77903764</v>
      </c>
      <c r="T82" s="39">
        <v>1221.3593784000002</v>
      </c>
      <c r="U82" s="39">
        <v>1355.06374428</v>
      </c>
      <c r="V82" s="39">
        <v>1643.2735941600001</v>
      </c>
      <c r="W82" s="59">
        <v>1787.3011010799999</v>
      </c>
      <c r="X82" s="8"/>
      <c r="Y82" s="37" t="s">
        <v>35</v>
      </c>
      <c r="Z82" s="60">
        <v>518.68843217</v>
      </c>
      <c r="AA82" s="39">
        <v>575.6467262799999</v>
      </c>
      <c r="AB82" s="39">
        <v>545.89769224</v>
      </c>
      <c r="AC82" s="39">
        <v>718.6676606</v>
      </c>
      <c r="AD82" s="39">
        <v>782.27254388</v>
      </c>
      <c r="AE82" s="39">
        <v>799.18033004</v>
      </c>
      <c r="AF82" s="39">
        <v>731.8953424700001</v>
      </c>
      <c r="AG82" s="39">
        <v>836.6671625</v>
      </c>
      <c r="AH82" s="39">
        <v>1031.98146927</v>
      </c>
      <c r="AI82" s="39">
        <v>959.73664794</v>
      </c>
      <c r="AJ82" s="39">
        <v>1070.0989030599999</v>
      </c>
      <c r="AK82" s="39">
        <v>1108.33260512</v>
      </c>
      <c r="AL82" s="39">
        <v>1067.60292544</v>
      </c>
      <c r="AM82" s="39">
        <v>1050.36410229</v>
      </c>
      <c r="AN82" s="39">
        <v>1014.07691625</v>
      </c>
      <c r="AO82" s="39">
        <v>1185.0122804</v>
      </c>
      <c r="AP82" s="39">
        <v>1200.5461129100001</v>
      </c>
      <c r="AQ82" s="39">
        <v>1179.64494277</v>
      </c>
      <c r="AR82" s="39">
        <v>1693.29219553</v>
      </c>
      <c r="AS82" s="39">
        <v>2113.98459729</v>
      </c>
      <c r="AT82" s="59">
        <v>1981.0235336800001</v>
      </c>
      <c r="AU82" s="8"/>
      <c r="AV82" s="22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8"/>
      <c r="BI82" s="22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23"/>
    </row>
    <row r="83" spans="2:86" ht="15">
      <c r="B83" s="37" t="s">
        <v>36</v>
      </c>
      <c r="C83" s="60">
        <v>325.9024189499999</v>
      </c>
      <c r="D83" s="39">
        <v>698.66825865</v>
      </c>
      <c r="E83" s="39">
        <v>324.83238974</v>
      </c>
      <c r="F83" s="39">
        <v>443.87526867</v>
      </c>
      <c r="G83" s="39">
        <v>493.82341769</v>
      </c>
      <c r="H83" s="39">
        <v>478.23032103</v>
      </c>
      <c r="I83" s="39">
        <v>521.42394226</v>
      </c>
      <c r="J83" s="39">
        <v>570.0178690399999</v>
      </c>
      <c r="K83" s="39">
        <v>664.5409978600001</v>
      </c>
      <c r="L83" s="39">
        <v>667.2342690199999</v>
      </c>
      <c r="M83" s="39">
        <v>749.89677684</v>
      </c>
      <c r="N83" s="39">
        <v>782.8933109</v>
      </c>
      <c r="O83" s="39">
        <v>811.75200851</v>
      </c>
      <c r="P83" s="39">
        <v>967.49081739</v>
      </c>
      <c r="Q83" s="39">
        <v>982.42920366</v>
      </c>
      <c r="R83" s="39">
        <v>1051.62953258</v>
      </c>
      <c r="S83" s="39">
        <v>1281.4028997799999</v>
      </c>
      <c r="T83" s="39">
        <v>1357.90930779</v>
      </c>
      <c r="U83" s="39">
        <v>1428.57772362</v>
      </c>
      <c r="V83" s="39">
        <v>1614.5329018900002</v>
      </c>
      <c r="W83" s="59">
        <v>1844.4624089299996</v>
      </c>
      <c r="X83" s="8"/>
      <c r="Y83" s="37" t="s">
        <v>36</v>
      </c>
      <c r="Z83" s="60">
        <v>561.45032468</v>
      </c>
      <c r="AA83" s="39">
        <v>604.9523424500001</v>
      </c>
      <c r="AB83" s="39">
        <v>560.8891065600001</v>
      </c>
      <c r="AC83" s="39">
        <v>784.81390703</v>
      </c>
      <c r="AD83" s="39">
        <v>932.2924585600001</v>
      </c>
      <c r="AE83" s="39">
        <v>901.77131276</v>
      </c>
      <c r="AF83" s="39">
        <v>889.56092451</v>
      </c>
      <c r="AG83" s="39">
        <v>886.84193087</v>
      </c>
      <c r="AH83" s="39">
        <v>1038.42297025</v>
      </c>
      <c r="AI83" s="39">
        <v>1117.89676137</v>
      </c>
      <c r="AJ83" s="39">
        <v>1167.3728791600001</v>
      </c>
      <c r="AK83" s="39">
        <v>1109.12145372</v>
      </c>
      <c r="AL83" s="39">
        <v>1100.1041745799998</v>
      </c>
      <c r="AM83" s="39">
        <v>1018.28776157</v>
      </c>
      <c r="AN83" s="39">
        <v>1197.39616158</v>
      </c>
      <c r="AO83" s="39">
        <v>1390.74935646</v>
      </c>
      <c r="AP83" s="39">
        <v>1484.85441326</v>
      </c>
      <c r="AQ83" s="39">
        <v>1381.04911219</v>
      </c>
      <c r="AR83" s="39">
        <v>1988.93514182</v>
      </c>
      <c r="AS83" s="39">
        <v>2203.26194058</v>
      </c>
      <c r="AT83" s="59">
        <v>2140.0473056299998</v>
      </c>
      <c r="AU83" s="8"/>
      <c r="AV83" s="22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8"/>
      <c r="BI83" s="22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23"/>
    </row>
    <row r="84" spans="2:86" ht="15">
      <c r="B84" s="37" t="s">
        <v>37</v>
      </c>
      <c r="C84" s="60">
        <v>303.71000152</v>
      </c>
      <c r="D84" s="39">
        <v>318.09184056</v>
      </c>
      <c r="E84" s="39">
        <v>341.04870359000006</v>
      </c>
      <c r="F84" s="39">
        <v>441.77195912</v>
      </c>
      <c r="G84" s="39">
        <v>449.40208242</v>
      </c>
      <c r="H84" s="39">
        <v>509.40104147000005</v>
      </c>
      <c r="I84" s="39">
        <v>482.68432551999996</v>
      </c>
      <c r="J84" s="39">
        <v>556.98760205</v>
      </c>
      <c r="K84" s="39">
        <v>605.54382716</v>
      </c>
      <c r="L84" s="39">
        <v>689.60068802</v>
      </c>
      <c r="M84" s="39">
        <v>794.52359972</v>
      </c>
      <c r="N84" s="39">
        <v>830.8702363</v>
      </c>
      <c r="O84" s="39">
        <v>883.5135663200001</v>
      </c>
      <c r="P84" s="39">
        <v>1004.7538783099999</v>
      </c>
      <c r="Q84" s="39">
        <v>1104.82817732</v>
      </c>
      <c r="R84" s="39">
        <v>1141.8679570499999</v>
      </c>
      <c r="S84" s="39">
        <v>1289.84552723</v>
      </c>
      <c r="T84" s="39">
        <v>1430.00508618</v>
      </c>
      <c r="U84" s="39">
        <v>1459.90176715</v>
      </c>
      <c r="V84" s="39">
        <v>1670.62111162</v>
      </c>
      <c r="W84" s="59"/>
      <c r="X84" s="8"/>
      <c r="Y84" s="37" t="s">
        <v>37</v>
      </c>
      <c r="Z84" s="60">
        <v>553.7818850900001</v>
      </c>
      <c r="AA84" s="39">
        <v>676.7438704900001</v>
      </c>
      <c r="AB84" s="39">
        <v>768.85655548</v>
      </c>
      <c r="AC84" s="39">
        <v>807.66941673</v>
      </c>
      <c r="AD84" s="39">
        <v>869.58626027</v>
      </c>
      <c r="AE84" s="39">
        <v>748.17182563</v>
      </c>
      <c r="AF84" s="39">
        <v>783.169959</v>
      </c>
      <c r="AG84" s="39">
        <v>948.2434865800001</v>
      </c>
      <c r="AH84" s="39">
        <v>1058.20447973</v>
      </c>
      <c r="AI84" s="39">
        <v>1067.05955417</v>
      </c>
      <c r="AJ84" s="39">
        <v>1095.0904069100002</v>
      </c>
      <c r="AK84" s="39">
        <v>1082.0169932200001</v>
      </c>
      <c r="AL84" s="39">
        <v>1074.04898028</v>
      </c>
      <c r="AM84" s="39">
        <v>1136.3399615399999</v>
      </c>
      <c r="AN84" s="39">
        <v>1347.31507198</v>
      </c>
      <c r="AO84" s="39">
        <v>1341.2330994200001</v>
      </c>
      <c r="AP84" s="39">
        <v>1466.54764734</v>
      </c>
      <c r="AQ84" s="39">
        <v>1407.9304998399998</v>
      </c>
      <c r="AR84" s="39">
        <v>2069.2099372899997</v>
      </c>
      <c r="AS84" s="39">
        <v>2227.25844244</v>
      </c>
      <c r="AT84" s="59"/>
      <c r="AU84" s="8"/>
      <c r="AV84" s="22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8"/>
      <c r="BI84" s="22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23"/>
    </row>
    <row r="85" spans="2:86" ht="15.75" thickBot="1">
      <c r="B85" s="37" t="s">
        <v>38</v>
      </c>
      <c r="C85" s="60">
        <v>293.09543349</v>
      </c>
      <c r="D85" s="39">
        <v>360.61110721</v>
      </c>
      <c r="E85" s="39">
        <v>347.18220656</v>
      </c>
      <c r="F85" s="39">
        <v>464.42180061</v>
      </c>
      <c r="G85" s="39">
        <v>529.76465967</v>
      </c>
      <c r="H85" s="39">
        <v>538.0749465800001</v>
      </c>
      <c r="I85" s="39">
        <v>548.3269661800001</v>
      </c>
      <c r="J85" s="39">
        <v>611.04742475</v>
      </c>
      <c r="K85" s="39">
        <v>639.5846647999999</v>
      </c>
      <c r="L85" s="39">
        <v>823.2131249500001</v>
      </c>
      <c r="M85" s="39">
        <v>835.8239379400001</v>
      </c>
      <c r="N85" s="39">
        <v>954.5598152599999</v>
      </c>
      <c r="O85" s="39">
        <v>952.48979369</v>
      </c>
      <c r="P85" s="39">
        <v>1064.62841815</v>
      </c>
      <c r="Q85" s="39">
        <v>1164.29062076</v>
      </c>
      <c r="R85" s="39">
        <v>1187.77829254</v>
      </c>
      <c r="S85" s="39">
        <v>1414.01782104</v>
      </c>
      <c r="T85" s="39">
        <v>1472.44870455</v>
      </c>
      <c r="U85" s="39">
        <v>1536.51740759</v>
      </c>
      <c r="V85" s="39">
        <v>2030.64335677</v>
      </c>
      <c r="W85" s="59"/>
      <c r="X85" s="8"/>
      <c r="Y85" s="37" t="s">
        <v>38</v>
      </c>
      <c r="Z85" s="60">
        <v>545.8401533</v>
      </c>
      <c r="AA85" s="39">
        <v>653.72493668</v>
      </c>
      <c r="AB85" s="39">
        <v>745.04791593</v>
      </c>
      <c r="AC85" s="39">
        <v>737.01434712</v>
      </c>
      <c r="AD85" s="39">
        <v>917.90096987</v>
      </c>
      <c r="AE85" s="39">
        <v>776.30176651</v>
      </c>
      <c r="AF85" s="39">
        <v>854.7644635600001</v>
      </c>
      <c r="AG85" s="39">
        <v>1056.61730264</v>
      </c>
      <c r="AH85" s="39">
        <v>971.1078937799999</v>
      </c>
      <c r="AI85" s="39">
        <v>1135.038051</v>
      </c>
      <c r="AJ85" s="39">
        <v>1007.17115549</v>
      </c>
      <c r="AK85" s="39">
        <v>1140.7405403399998</v>
      </c>
      <c r="AL85" s="39">
        <v>1051.33752955</v>
      </c>
      <c r="AM85" s="39">
        <v>1077.753464</v>
      </c>
      <c r="AN85" s="39">
        <v>1243.3737452999999</v>
      </c>
      <c r="AO85" s="39">
        <v>1249.31559299</v>
      </c>
      <c r="AP85" s="39">
        <v>1337.44921752</v>
      </c>
      <c r="AQ85" s="39">
        <v>1529.3838763699998</v>
      </c>
      <c r="AR85" s="39">
        <v>1990.17018359</v>
      </c>
      <c r="AS85" s="39">
        <v>2078.22911543</v>
      </c>
      <c r="AT85" s="59"/>
      <c r="AU85" s="8"/>
      <c r="AV85" s="22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8"/>
      <c r="BI85" s="22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23"/>
    </row>
    <row r="86" spans="2:86" ht="15.75" thickBot="1">
      <c r="B86" s="35" t="s">
        <v>3</v>
      </c>
      <c r="C86" s="43">
        <f>SUM(C74:C85)</f>
        <v>3511.9059022</v>
      </c>
      <c r="D86" s="36">
        <f>SUM(D74:D85)</f>
        <v>4036.75688281</v>
      </c>
      <c r="E86" s="36">
        <f aca="true" t="shared" si="6" ref="E86:P86">SUM(E74:E85)</f>
        <v>3737.60541079</v>
      </c>
      <c r="F86" s="36">
        <f t="shared" si="6"/>
        <v>4473.33695318</v>
      </c>
      <c r="G86" s="36">
        <f t="shared" si="6"/>
        <v>5613.464907479999</v>
      </c>
      <c r="H86" s="36">
        <f t="shared" si="6"/>
        <v>5830.855895339999</v>
      </c>
      <c r="I86" s="36">
        <f t="shared" si="6"/>
        <v>6074.596157860001</v>
      </c>
      <c r="J86" s="36">
        <f t="shared" si="6"/>
        <v>6653.20743115</v>
      </c>
      <c r="K86" s="36">
        <f t="shared" si="6"/>
        <v>7595.407872939998</v>
      </c>
      <c r="L86" s="36">
        <f t="shared" si="6"/>
        <v>8345.68552397</v>
      </c>
      <c r="M86" s="36">
        <f t="shared" si="6"/>
        <v>9266.40916292</v>
      </c>
      <c r="N86" s="36">
        <f t="shared" si="6"/>
        <v>10094.636941149998</v>
      </c>
      <c r="O86" s="36">
        <f t="shared" si="6"/>
        <v>10692.03394082</v>
      </c>
      <c r="P86" s="36">
        <f t="shared" si="6"/>
        <v>11908.78955919</v>
      </c>
      <c r="Q86" s="36">
        <f>SUM(Q74:Q85)</f>
        <v>12970.71029756</v>
      </c>
      <c r="R86" s="36">
        <f>SUM(R74:R85)</f>
        <v>13263.44088295</v>
      </c>
      <c r="S86" s="36">
        <v>14611.159123860001</v>
      </c>
      <c r="T86" s="36">
        <f>SUM(T74:T85)</f>
        <v>14671.7706024</v>
      </c>
      <c r="U86" s="36">
        <v>16750.93779462</v>
      </c>
      <c r="V86" s="36">
        <f>SUM(V74:V85)</f>
        <v>18743.83905525</v>
      </c>
      <c r="W86" s="58">
        <f>SUM(W74:W85)</f>
        <v>17593.18546864</v>
      </c>
      <c r="X86" s="8"/>
      <c r="Y86" s="35" t="s">
        <v>3</v>
      </c>
      <c r="Z86" s="43">
        <f>SUM(Z74:Z85)</f>
        <v>5776.68970479</v>
      </c>
      <c r="AA86" s="36">
        <f>SUM(AA74:AA85)</f>
        <v>6445.5384675</v>
      </c>
      <c r="AB86" s="36">
        <f aca="true" t="shared" si="7" ref="AB86:AO86">SUM(AB74:AB85)</f>
        <v>7015.08427793</v>
      </c>
      <c r="AC86" s="36">
        <f t="shared" si="7"/>
        <v>8024.153444330001</v>
      </c>
      <c r="AD86" s="36">
        <f t="shared" si="7"/>
        <v>9763.501539</v>
      </c>
      <c r="AE86" s="36">
        <f t="shared" si="7"/>
        <v>10324.377863939999</v>
      </c>
      <c r="AF86" s="36">
        <f t="shared" si="7"/>
        <v>8940.891028560001</v>
      </c>
      <c r="AG86" s="36">
        <f t="shared" si="7"/>
        <v>10327.22182451</v>
      </c>
      <c r="AH86" s="36">
        <f t="shared" si="7"/>
        <v>11876.8126283</v>
      </c>
      <c r="AI86" s="36">
        <f t="shared" si="7"/>
        <v>12567.261081260001</v>
      </c>
      <c r="AJ86" s="36">
        <f t="shared" si="7"/>
        <v>12607.473071479999</v>
      </c>
      <c r="AK86" s="36">
        <f t="shared" si="7"/>
        <v>13058.278163299998</v>
      </c>
      <c r="AL86" s="36">
        <f t="shared" si="7"/>
        <v>12579.30991321</v>
      </c>
      <c r="AM86" s="36">
        <f t="shared" si="7"/>
        <v>12306.458432889998</v>
      </c>
      <c r="AN86" s="36">
        <f t="shared" si="7"/>
        <v>13216.020335309999</v>
      </c>
      <c r="AO86" s="36">
        <f t="shared" si="7"/>
        <v>14469.093726800002</v>
      </c>
      <c r="AP86" s="36">
        <v>15308.861955829998</v>
      </c>
      <c r="AQ86" s="36">
        <f>SUM(AQ74:AQ85)</f>
        <v>14087.918663299997</v>
      </c>
      <c r="AR86" s="36">
        <v>20234.31740134</v>
      </c>
      <c r="AS86" s="36">
        <f>SUM(AS74:AS85)</f>
        <v>24660.47812341</v>
      </c>
      <c r="AT86" s="58">
        <f>SUM(AT74:AT85)</f>
        <v>19968.74927291</v>
      </c>
      <c r="AU86" s="8"/>
      <c r="AV86" s="22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8"/>
      <c r="BI86" s="22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23"/>
    </row>
    <row r="87" spans="2:85" ht="15">
      <c r="B87" s="4" t="s">
        <v>4</v>
      </c>
      <c r="C87" s="4"/>
      <c r="D87" s="4"/>
      <c r="E87" s="4"/>
      <c r="F87" s="5"/>
      <c r="G87" s="5"/>
      <c r="H87" s="5"/>
      <c r="I87" s="5"/>
      <c r="J87" s="5"/>
      <c r="K87" s="5"/>
      <c r="L87" s="5"/>
      <c r="M87" s="5"/>
      <c r="N87" s="5"/>
      <c r="O87" s="5"/>
      <c r="P87" s="8"/>
      <c r="Q87" s="8"/>
      <c r="R87" s="8"/>
      <c r="S87" s="8"/>
      <c r="T87" s="8"/>
      <c r="U87" s="8"/>
      <c r="V87" s="8"/>
      <c r="W87" s="8"/>
      <c r="Y87" s="4" t="s">
        <v>4</v>
      </c>
      <c r="Z87" s="4"/>
      <c r="AA87" s="4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8"/>
      <c r="AN87" s="8"/>
      <c r="AO87" s="8"/>
      <c r="AP87" s="8"/>
      <c r="AQ87" s="8"/>
      <c r="AR87" s="8"/>
      <c r="AS87" s="8"/>
      <c r="AT87" s="8"/>
      <c r="AU87" s="22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8"/>
      <c r="BH87" s="22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23"/>
    </row>
    <row r="88" spans="2:85" ht="15">
      <c r="B88" s="73" t="s">
        <v>5</v>
      </c>
      <c r="C88" s="73"/>
      <c r="D88" s="73"/>
      <c r="E88" s="73"/>
      <c r="F88" s="6"/>
      <c r="G88" s="6"/>
      <c r="H88" s="6"/>
      <c r="I88" s="6"/>
      <c r="J88" s="6"/>
      <c r="K88" s="6"/>
      <c r="L88" s="6"/>
      <c r="M88" s="6"/>
      <c r="N88" s="6"/>
      <c r="O88" s="6"/>
      <c r="P88" s="8"/>
      <c r="Q88" s="8"/>
      <c r="R88" s="8"/>
      <c r="S88" s="8"/>
      <c r="T88" s="8"/>
      <c r="U88" s="8"/>
      <c r="V88" s="8"/>
      <c r="W88" s="8"/>
      <c r="X88" s="50"/>
      <c r="Y88" s="50" t="s">
        <v>5</v>
      </c>
      <c r="Z88" s="50"/>
      <c r="AA88" s="50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8"/>
      <c r="AN88" s="8"/>
      <c r="AO88" s="8"/>
      <c r="AP88" s="8"/>
      <c r="AQ88" s="8"/>
      <c r="AR88" s="8"/>
      <c r="AS88" s="8"/>
      <c r="AT88" s="8"/>
      <c r="AU88" s="22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8"/>
      <c r="BH88" s="22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23"/>
    </row>
    <row r="89" spans="2:85" ht="4.5" customHeight="1"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8"/>
      <c r="Q89" s="8"/>
      <c r="R89" s="8"/>
      <c r="S89" s="8"/>
      <c r="T89" s="8"/>
      <c r="U89" s="8"/>
      <c r="V89" s="8"/>
      <c r="W89" s="8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8"/>
      <c r="AN89" s="8"/>
      <c r="AO89" s="8"/>
      <c r="AP89" s="8"/>
      <c r="AQ89" s="8"/>
      <c r="AR89" s="8"/>
      <c r="AS89" s="8"/>
      <c r="AT89" s="8"/>
      <c r="AU89" s="22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8"/>
      <c r="BH89" s="22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23"/>
    </row>
    <row r="90" spans="2:85" ht="21.75" customHeight="1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8"/>
      <c r="AN90" s="8"/>
      <c r="AO90" s="8"/>
      <c r="AP90" s="8"/>
      <c r="AQ90" s="8"/>
      <c r="AR90" s="8"/>
      <c r="AS90" s="8"/>
      <c r="AT90" s="8"/>
      <c r="AU90" s="22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8"/>
      <c r="BH90" s="22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23"/>
    </row>
    <row r="91" spans="2:85" ht="15">
      <c r="B91" s="21"/>
      <c r="C91" s="74"/>
      <c r="D91" s="74"/>
      <c r="E91" s="74"/>
      <c r="F91" s="74"/>
      <c r="G91" s="74"/>
      <c r="H91" s="6"/>
      <c r="I91" s="6"/>
      <c r="J91" s="6"/>
      <c r="K91" s="6"/>
      <c r="L91" s="6"/>
      <c r="M91" s="6"/>
      <c r="N91" s="6"/>
      <c r="O91" s="6"/>
      <c r="P91" s="8"/>
      <c r="Q91" s="8"/>
      <c r="R91" s="8"/>
      <c r="S91" s="8"/>
      <c r="T91" s="8"/>
      <c r="U91" s="8"/>
      <c r="V91" s="8"/>
      <c r="W91" s="8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8"/>
      <c r="AN91" s="8"/>
      <c r="AO91" s="8"/>
      <c r="AP91" s="8"/>
      <c r="AQ91" s="8"/>
      <c r="AR91" s="8"/>
      <c r="AS91" s="8"/>
      <c r="AT91" s="8"/>
      <c r="AU91" s="22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8"/>
      <c r="BH91" s="22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23"/>
    </row>
    <row r="92" spans="2:85" ht="34.5" customHeight="1">
      <c r="B92" s="75" t="s">
        <v>13</v>
      </c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49"/>
      <c r="Y92" s="75" t="s">
        <v>18</v>
      </c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22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8"/>
      <c r="BH92" s="22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23"/>
    </row>
    <row r="93" spans="2:85" ht="15">
      <c r="B93" s="72" t="s">
        <v>39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Y93" s="72" t="s">
        <v>39</v>
      </c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22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8"/>
      <c r="BH93" s="22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23"/>
    </row>
    <row r="94" spans="2:85" ht="15.75" thickBot="1">
      <c r="B94" s="71" t="s">
        <v>1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Y94" s="71" t="s">
        <v>1</v>
      </c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22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8"/>
      <c r="BH94" s="22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23"/>
    </row>
    <row r="95" spans="2:86" ht="33" customHeight="1" thickBot="1">
      <c r="B95" s="33" t="s">
        <v>2</v>
      </c>
      <c r="C95" s="41">
        <v>2003</v>
      </c>
      <c r="D95" s="34">
        <v>2004</v>
      </c>
      <c r="E95" s="34">
        <v>2005</v>
      </c>
      <c r="F95" s="34">
        <v>2006</v>
      </c>
      <c r="G95" s="34">
        <v>2007</v>
      </c>
      <c r="H95" s="34">
        <v>2008</v>
      </c>
      <c r="I95" s="34">
        <v>2009</v>
      </c>
      <c r="J95" s="34">
        <v>2010</v>
      </c>
      <c r="K95" s="34">
        <v>2011</v>
      </c>
      <c r="L95" s="34">
        <v>2012</v>
      </c>
      <c r="M95" s="34">
        <v>2013</v>
      </c>
      <c r="N95" s="34">
        <v>2014</v>
      </c>
      <c r="O95" s="34">
        <v>2015</v>
      </c>
      <c r="P95" s="34">
        <v>2016</v>
      </c>
      <c r="Q95" s="34">
        <v>2017</v>
      </c>
      <c r="R95" s="34">
        <v>2018</v>
      </c>
      <c r="S95" s="34">
        <v>2019</v>
      </c>
      <c r="T95" s="34">
        <v>2020</v>
      </c>
      <c r="U95" s="34">
        <v>2021</v>
      </c>
      <c r="V95" s="34">
        <v>2022</v>
      </c>
      <c r="W95" s="55">
        <v>2023</v>
      </c>
      <c r="X95" s="51"/>
      <c r="Y95" s="33" t="s">
        <v>2</v>
      </c>
      <c r="Z95" s="41">
        <v>2003</v>
      </c>
      <c r="AA95" s="34">
        <v>2004</v>
      </c>
      <c r="AB95" s="34">
        <v>2005</v>
      </c>
      <c r="AC95" s="34">
        <v>2006</v>
      </c>
      <c r="AD95" s="34">
        <v>2007</v>
      </c>
      <c r="AE95" s="34">
        <v>2008</v>
      </c>
      <c r="AF95" s="34">
        <v>2009</v>
      </c>
      <c r="AG95" s="34">
        <v>2010</v>
      </c>
      <c r="AH95" s="34">
        <v>2011</v>
      </c>
      <c r="AI95" s="34">
        <v>2012</v>
      </c>
      <c r="AJ95" s="34">
        <v>2013</v>
      </c>
      <c r="AK95" s="34">
        <v>2014</v>
      </c>
      <c r="AL95" s="34">
        <v>2015</v>
      </c>
      <c r="AM95" s="34">
        <v>2016</v>
      </c>
      <c r="AN95" s="34">
        <v>2017</v>
      </c>
      <c r="AO95" s="34">
        <v>2018</v>
      </c>
      <c r="AP95" s="34">
        <v>2019</v>
      </c>
      <c r="AQ95" s="34">
        <v>2020</v>
      </c>
      <c r="AR95" s="34">
        <v>2021</v>
      </c>
      <c r="AS95" s="34">
        <v>2022</v>
      </c>
      <c r="AT95" s="55">
        <v>2023</v>
      </c>
      <c r="AU95" s="8"/>
      <c r="AV95" s="22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8"/>
      <c r="BI95" s="22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23"/>
    </row>
    <row r="96" spans="2:86" ht="4.5" customHeight="1"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56"/>
      <c r="X96" s="8"/>
      <c r="Y96" s="46"/>
      <c r="Z96" s="47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56"/>
      <c r="AU96" s="8"/>
      <c r="AV96" s="22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8"/>
      <c r="BI96" s="22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23"/>
    </row>
    <row r="97" spans="2:86" ht="15">
      <c r="B97" s="37" t="s">
        <v>27</v>
      </c>
      <c r="C97" s="60">
        <v>313.29574132</v>
      </c>
      <c r="D97" s="39">
        <v>189.99161925</v>
      </c>
      <c r="E97" s="39">
        <v>293.5114008</v>
      </c>
      <c r="F97" s="39">
        <v>183.67635815</v>
      </c>
      <c r="G97" s="39">
        <v>205.56550104</v>
      </c>
      <c r="H97" s="39">
        <v>206.95504514</v>
      </c>
      <c r="I97" s="39">
        <v>163.71778673</v>
      </c>
      <c r="J97" s="39">
        <v>157.83790996000002</v>
      </c>
      <c r="K97" s="39">
        <v>173.79054759000002</v>
      </c>
      <c r="L97" s="39">
        <v>195.7173742</v>
      </c>
      <c r="M97" s="39">
        <v>153.94620566999998</v>
      </c>
      <c r="N97" s="39">
        <v>157.37073342</v>
      </c>
      <c r="O97" s="39">
        <v>151.29914945</v>
      </c>
      <c r="P97" s="39">
        <v>168.55327441999998</v>
      </c>
      <c r="Q97" s="39">
        <v>180.34601975</v>
      </c>
      <c r="R97" s="39">
        <v>191.14788703</v>
      </c>
      <c r="S97" s="39">
        <v>230.00703258000001</v>
      </c>
      <c r="T97" s="39">
        <v>237.051148</v>
      </c>
      <c r="U97" s="39">
        <v>227.49108431</v>
      </c>
      <c r="V97" s="39">
        <v>296.30215724</v>
      </c>
      <c r="W97" s="59">
        <v>301.68891186</v>
      </c>
      <c r="X97" s="8"/>
      <c r="Y97" s="37" t="s">
        <v>27</v>
      </c>
      <c r="Z97" s="60">
        <v>0.01552066</v>
      </c>
      <c r="AA97" s="39">
        <v>169.53365221</v>
      </c>
      <c r="AB97" s="39">
        <v>4.5E-05</v>
      </c>
      <c r="AC97" s="39">
        <v>138.02304411</v>
      </c>
      <c r="AD97" s="39">
        <v>149.93210213</v>
      </c>
      <c r="AE97" s="39">
        <v>160.82267971000002</v>
      </c>
      <c r="AF97" s="39">
        <v>205.96183271</v>
      </c>
      <c r="AG97" s="39">
        <v>185.6100841</v>
      </c>
      <c r="AH97" s="39">
        <v>176.00037086</v>
      </c>
      <c r="AI97" s="39">
        <v>161.37328434</v>
      </c>
      <c r="AJ97" s="39">
        <v>220.73624778</v>
      </c>
      <c r="AK97" s="39">
        <v>215.93966249000002</v>
      </c>
      <c r="AL97" s="39">
        <v>273.59078726999996</v>
      </c>
      <c r="AM97" s="39">
        <v>284.33387826</v>
      </c>
      <c r="AN97" s="39">
        <v>243.03622262000002</v>
      </c>
      <c r="AO97" s="39">
        <v>252.48223269</v>
      </c>
      <c r="AP97" s="39">
        <v>305.49331298000004</v>
      </c>
      <c r="AQ97" s="39">
        <v>360.09011707999997</v>
      </c>
      <c r="AR97" s="39">
        <v>308.81247346</v>
      </c>
      <c r="AS97" s="39">
        <v>351.07436464</v>
      </c>
      <c r="AT97" s="59">
        <v>320.57329126999997</v>
      </c>
      <c r="AU97" s="8"/>
      <c r="AV97" s="22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8"/>
      <c r="BI97" s="22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23"/>
    </row>
    <row r="98" spans="2:86" ht="15">
      <c r="B98" s="37" t="s">
        <v>28</v>
      </c>
      <c r="C98" s="60">
        <v>207.4196549</v>
      </c>
      <c r="D98" s="39">
        <v>164.77996487000001</v>
      </c>
      <c r="E98" s="39">
        <v>298.86903039</v>
      </c>
      <c r="F98" s="39">
        <v>192.56227431</v>
      </c>
      <c r="G98" s="39">
        <v>196.37959783000002</v>
      </c>
      <c r="H98" s="39">
        <v>202.82952609</v>
      </c>
      <c r="I98" s="39">
        <v>163.78938202</v>
      </c>
      <c r="J98" s="39">
        <v>158.98458857</v>
      </c>
      <c r="K98" s="39">
        <v>173.65284831</v>
      </c>
      <c r="L98" s="39">
        <v>200.41054153</v>
      </c>
      <c r="M98" s="39">
        <v>147.06493253</v>
      </c>
      <c r="N98" s="39">
        <v>144.94842934</v>
      </c>
      <c r="O98" s="39">
        <v>149.28380562</v>
      </c>
      <c r="P98" s="39">
        <v>184.25646161</v>
      </c>
      <c r="Q98" s="39">
        <v>181.18492424000002</v>
      </c>
      <c r="R98" s="39">
        <v>189.1465124</v>
      </c>
      <c r="S98" s="39">
        <v>193.17729008</v>
      </c>
      <c r="T98" s="39">
        <v>210.91864359000002</v>
      </c>
      <c r="U98" s="39">
        <v>252.46845148</v>
      </c>
      <c r="V98" s="39">
        <v>269.47601716</v>
      </c>
      <c r="W98" s="59">
        <v>292.17988967</v>
      </c>
      <c r="X98" s="8"/>
      <c r="Y98" s="37" t="s">
        <v>28</v>
      </c>
      <c r="Z98" s="60">
        <v>35.401037020000004</v>
      </c>
      <c r="AA98" s="39">
        <v>136.88071202</v>
      </c>
      <c r="AB98" s="39">
        <v>0.00255</v>
      </c>
      <c r="AC98" s="39">
        <v>151.48108187</v>
      </c>
      <c r="AD98" s="39">
        <v>165.82195978000001</v>
      </c>
      <c r="AE98" s="39">
        <v>188.84511238</v>
      </c>
      <c r="AF98" s="39">
        <v>173.19602606</v>
      </c>
      <c r="AG98" s="39">
        <v>171.09067822</v>
      </c>
      <c r="AH98" s="39">
        <v>172.09850185</v>
      </c>
      <c r="AI98" s="39">
        <v>179.17507181</v>
      </c>
      <c r="AJ98" s="39">
        <v>182.45214837</v>
      </c>
      <c r="AK98" s="39">
        <v>188.36861137</v>
      </c>
      <c r="AL98" s="39">
        <v>222.00994444</v>
      </c>
      <c r="AM98" s="39">
        <v>248.16382707</v>
      </c>
      <c r="AN98" s="39">
        <v>252.62022731</v>
      </c>
      <c r="AO98" s="39">
        <v>276.66941307999997</v>
      </c>
      <c r="AP98" s="39">
        <v>268.11429625</v>
      </c>
      <c r="AQ98" s="39">
        <v>309.55313588999996</v>
      </c>
      <c r="AR98" s="39">
        <v>329.94622776</v>
      </c>
      <c r="AS98" s="39">
        <v>308.99411583999995</v>
      </c>
      <c r="AT98" s="59">
        <v>322.90713027</v>
      </c>
      <c r="AU98" s="8"/>
      <c r="AV98" s="22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8"/>
      <c r="BI98" s="22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23"/>
    </row>
    <row r="99" spans="2:86" ht="15">
      <c r="B99" s="37" t="s">
        <v>29</v>
      </c>
      <c r="C99" s="60">
        <v>180.8679864</v>
      </c>
      <c r="D99" s="39">
        <v>199.06199069</v>
      </c>
      <c r="E99" s="39">
        <v>374.08435699</v>
      </c>
      <c r="F99" s="39">
        <v>231.57719494</v>
      </c>
      <c r="G99" s="39">
        <v>230.12163812</v>
      </c>
      <c r="H99" s="39">
        <v>206.54160524</v>
      </c>
      <c r="I99" s="39">
        <v>173.39656301</v>
      </c>
      <c r="J99" s="39">
        <v>201.35950495000003</v>
      </c>
      <c r="K99" s="39">
        <v>202.06077790999998</v>
      </c>
      <c r="L99" s="39">
        <v>213.48427365</v>
      </c>
      <c r="M99" s="39">
        <v>133.85659563</v>
      </c>
      <c r="N99" s="39">
        <v>143.70646073</v>
      </c>
      <c r="O99" s="39">
        <v>173.01774288</v>
      </c>
      <c r="P99" s="39">
        <v>174.03821176</v>
      </c>
      <c r="Q99" s="39">
        <v>188.65097559999998</v>
      </c>
      <c r="R99" s="39">
        <v>177.81288522</v>
      </c>
      <c r="S99" s="39">
        <v>200.07182541999998</v>
      </c>
      <c r="T99" s="39">
        <v>180.0770238</v>
      </c>
      <c r="U99" s="39">
        <v>264.22391078</v>
      </c>
      <c r="V99" s="39">
        <v>323.54103373000004</v>
      </c>
      <c r="W99" s="59">
        <v>304.52001362</v>
      </c>
      <c r="X99" s="8"/>
      <c r="Y99" s="37" t="s">
        <v>29</v>
      </c>
      <c r="Z99" s="60">
        <v>146.06763874000004</v>
      </c>
      <c r="AA99" s="39">
        <v>141.43683302000002</v>
      </c>
      <c r="AB99" s="39">
        <v>0.000285</v>
      </c>
      <c r="AC99" s="39">
        <v>198.96244411</v>
      </c>
      <c r="AD99" s="39">
        <v>211.38105829</v>
      </c>
      <c r="AE99" s="39">
        <v>159.93803991</v>
      </c>
      <c r="AF99" s="39">
        <v>176.12519137</v>
      </c>
      <c r="AG99" s="39">
        <v>179.74433508</v>
      </c>
      <c r="AH99" s="39">
        <v>195.75283779</v>
      </c>
      <c r="AI99" s="39">
        <v>206.41060947999998</v>
      </c>
      <c r="AJ99" s="39">
        <v>168.91572854</v>
      </c>
      <c r="AK99" s="39">
        <v>194.57760137</v>
      </c>
      <c r="AL99" s="39">
        <v>225.59196437</v>
      </c>
      <c r="AM99" s="39">
        <v>267.37539819</v>
      </c>
      <c r="AN99" s="39">
        <v>321.07618596</v>
      </c>
      <c r="AO99" s="39">
        <v>283.31028864</v>
      </c>
      <c r="AP99" s="39">
        <v>347.17527418000003</v>
      </c>
      <c r="AQ99" s="39">
        <v>294.60961957999996</v>
      </c>
      <c r="AR99" s="39">
        <v>394.49812869</v>
      </c>
      <c r="AS99" s="39">
        <v>357.68438985</v>
      </c>
      <c r="AT99" s="59">
        <v>421.07396226</v>
      </c>
      <c r="AU99" s="8"/>
      <c r="AV99" s="22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8"/>
      <c r="BI99" s="22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23"/>
    </row>
    <row r="100" spans="2:86" ht="15">
      <c r="B100" s="37" t="s">
        <v>30</v>
      </c>
      <c r="C100" s="60">
        <v>178.69460859999998</v>
      </c>
      <c r="D100" s="39">
        <v>178.73764606999998</v>
      </c>
      <c r="E100" s="39">
        <v>376.37906478</v>
      </c>
      <c r="F100" s="39">
        <v>184.83483915</v>
      </c>
      <c r="G100" s="39">
        <v>192.09829606</v>
      </c>
      <c r="H100" s="39">
        <v>201.48757804</v>
      </c>
      <c r="I100" s="39">
        <v>171.09442234</v>
      </c>
      <c r="J100" s="39">
        <v>172.90637716</v>
      </c>
      <c r="K100" s="39">
        <v>179.56699045</v>
      </c>
      <c r="L100" s="39">
        <v>195.80789141</v>
      </c>
      <c r="M100" s="39">
        <v>161.11989228</v>
      </c>
      <c r="N100" s="39">
        <v>154.26478075999998</v>
      </c>
      <c r="O100" s="39">
        <v>146.63821812</v>
      </c>
      <c r="P100" s="39">
        <v>183.92368134</v>
      </c>
      <c r="Q100" s="39">
        <v>155.02982344</v>
      </c>
      <c r="R100" s="39">
        <v>192.20664254</v>
      </c>
      <c r="S100" s="39">
        <v>181.72809646000002</v>
      </c>
      <c r="T100" s="39">
        <v>149.3836038</v>
      </c>
      <c r="U100" s="39">
        <v>255.97472261000001</v>
      </c>
      <c r="V100" s="39">
        <v>260.64554667</v>
      </c>
      <c r="W100" s="59">
        <v>276.75125711000004</v>
      </c>
      <c r="X100" s="8"/>
      <c r="Y100" s="37" t="s">
        <v>30</v>
      </c>
      <c r="Z100" s="60">
        <v>110.47618035</v>
      </c>
      <c r="AA100" s="39">
        <v>161.96974437</v>
      </c>
      <c r="AB100" s="39">
        <v>0.00208419</v>
      </c>
      <c r="AC100" s="39">
        <v>156.75802031999999</v>
      </c>
      <c r="AD100" s="39">
        <v>163.15077153000001</v>
      </c>
      <c r="AE100" s="39">
        <v>165.10509543999999</v>
      </c>
      <c r="AF100" s="39">
        <v>205.46573053</v>
      </c>
      <c r="AG100" s="39">
        <v>210.22524412</v>
      </c>
      <c r="AH100" s="39">
        <v>189.42623150999998</v>
      </c>
      <c r="AI100" s="39">
        <v>171.02260436</v>
      </c>
      <c r="AJ100" s="39">
        <v>213.24054173</v>
      </c>
      <c r="AK100" s="39">
        <v>204.25201136</v>
      </c>
      <c r="AL100" s="39">
        <v>282.20946091</v>
      </c>
      <c r="AM100" s="39">
        <v>291.01487810000003</v>
      </c>
      <c r="AN100" s="39">
        <v>262.19239053</v>
      </c>
      <c r="AO100" s="39">
        <v>311.98078905</v>
      </c>
      <c r="AP100" s="39">
        <v>294.83951714</v>
      </c>
      <c r="AQ100" s="39">
        <v>223.62349265</v>
      </c>
      <c r="AR100" s="39">
        <v>324.39104259</v>
      </c>
      <c r="AS100" s="39">
        <v>352.43262694</v>
      </c>
      <c r="AT100" s="59">
        <v>336.6727009</v>
      </c>
      <c r="AU100" s="8"/>
      <c r="AV100" s="22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8"/>
      <c r="BI100" s="22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23"/>
    </row>
    <row r="101" spans="2:86" ht="15">
      <c r="B101" s="37" t="s">
        <v>31</v>
      </c>
      <c r="C101" s="60">
        <v>167.8555355</v>
      </c>
      <c r="D101" s="39">
        <v>187.06036497</v>
      </c>
      <c r="E101" s="39">
        <v>375.83207711</v>
      </c>
      <c r="F101" s="39">
        <v>237.82649231</v>
      </c>
      <c r="G101" s="39">
        <v>220.6408045</v>
      </c>
      <c r="H101" s="39">
        <v>193.62611989</v>
      </c>
      <c r="I101" s="39">
        <v>161.56218894</v>
      </c>
      <c r="J101" s="39">
        <v>187.29249148</v>
      </c>
      <c r="K101" s="39">
        <v>199.93927022999998</v>
      </c>
      <c r="L101" s="39">
        <v>239.6006935</v>
      </c>
      <c r="M101" s="39">
        <v>164.54790593</v>
      </c>
      <c r="N101" s="39">
        <v>180.50015362</v>
      </c>
      <c r="O101" s="39">
        <v>163.03932662</v>
      </c>
      <c r="P101" s="39">
        <v>185.71569261000002</v>
      </c>
      <c r="Q101" s="39">
        <v>206.71257046</v>
      </c>
      <c r="R101" s="39">
        <v>199.16402911</v>
      </c>
      <c r="S101" s="39">
        <v>228.62613914</v>
      </c>
      <c r="T101" s="39">
        <v>148.19815422</v>
      </c>
      <c r="U101" s="39">
        <v>259.70398316</v>
      </c>
      <c r="V101" s="39">
        <v>293.13623551</v>
      </c>
      <c r="W101" s="59">
        <v>344.30954320999996</v>
      </c>
      <c r="X101" s="8"/>
      <c r="Y101" s="37" t="s">
        <v>31</v>
      </c>
      <c r="Z101" s="60">
        <v>173.01581699000002</v>
      </c>
      <c r="AA101" s="39">
        <v>127.32356929000001</v>
      </c>
      <c r="AB101" s="39">
        <v>2.25E-05</v>
      </c>
      <c r="AC101" s="39">
        <v>147.38820214</v>
      </c>
      <c r="AD101" s="39">
        <v>172.01795859</v>
      </c>
      <c r="AE101" s="39">
        <v>184.54408747</v>
      </c>
      <c r="AF101" s="39">
        <v>194.44258956000002</v>
      </c>
      <c r="AG101" s="39">
        <v>171.59345907</v>
      </c>
      <c r="AH101" s="39">
        <v>158.38358706</v>
      </c>
      <c r="AI101" s="39">
        <v>188.10918619</v>
      </c>
      <c r="AJ101" s="39">
        <v>217.53788352</v>
      </c>
      <c r="AK101" s="39">
        <v>221.82171458000002</v>
      </c>
      <c r="AL101" s="39">
        <v>224.32767765</v>
      </c>
      <c r="AM101" s="39">
        <v>245.48308094</v>
      </c>
      <c r="AN101" s="39">
        <v>255.89790543</v>
      </c>
      <c r="AO101" s="39">
        <v>296.97212643</v>
      </c>
      <c r="AP101" s="39">
        <v>360.86306593</v>
      </c>
      <c r="AQ101" s="39">
        <v>210.57630918</v>
      </c>
      <c r="AR101" s="39">
        <v>314.08998514</v>
      </c>
      <c r="AS101" s="39">
        <v>306.69700754</v>
      </c>
      <c r="AT101" s="59">
        <v>336.46387691</v>
      </c>
      <c r="AU101" s="8"/>
      <c r="AV101" s="22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8"/>
      <c r="BI101" s="22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23"/>
    </row>
    <row r="102" spans="2:86" ht="15">
      <c r="B102" s="37" t="s">
        <v>32</v>
      </c>
      <c r="C102" s="60">
        <v>154.64013648999997</v>
      </c>
      <c r="D102" s="39">
        <v>185.73947438</v>
      </c>
      <c r="E102" s="39">
        <v>359.43539957999997</v>
      </c>
      <c r="F102" s="39">
        <v>219.28931917000003</v>
      </c>
      <c r="G102" s="39">
        <v>203.63955068</v>
      </c>
      <c r="H102" s="39">
        <v>171.89408761</v>
      </c>
      <c r="I102" s="39">
        <v>159.80312504</v>
      </c>
      <c r="J102" s="39">
        <v>192.48092772</v>
      </c>
      <c r="K102" s="39">
        <v>215.38318218999999</v>
      </c>
      <c r="L102" s="39">
        <v>227.43922652</v>
      </c>
      <c r="M102" s="39">
        <v>145.66815528</v>
      </c>
      <c r="N102" s="39">
        <v>153.42452232</v>
      </c>
      <c r="O102" s="39">
        <v>164.75135678</v>
      </c>
      <c r="P102" s="39">
        <v>181.89372009000002</v>
      </c>
      <c r="Q102" s="39">
        <v>209.31120640999998</v>
      </c>
      <c r="R102" s="39">
        <v>198.41307287</v>
      </c>
      <c r="S102" s="39">
        <v>195.46043862</v>
      </c>
      <c r="T102" s="39">
        <v>149.74190543</v>
      </c>
      <c r="U102" s="39">
        <v>272.16055558</v>
      </c>
      <c r="V102" s="39">
        <v>304.99760811</v>
      </c>
      <c r="W102" s="59">
        <v>346.73387731</v>
      </c>
      <c r="X102" s="8"/>
      <c r="Y102" s="37" t="s">
        <v>32</v>
      </c>
      <c r="Z102" s="60">
        <v>144.32030248999996</v>
      </c>
      <c r="AA102" s="39">
        <v>116.80111457000001</v>
      </c>
      <c r="AB102" s="39">
        <v>14.82173785</v>
      </c>
      <c r="AC102" s="39">
        <v>180.89507239000002</v>
      </c>
      <c r="AD102" s="39">
        <v>175.90951355</v>
      </c>
      <c r="AE102" s="39">
        <v>134.29738375</v>
      </c>
      <c r="AF102" s="39">
        <v>164.32562185</v>
      </c>
      <c r="AG102" s="39">
        <v>156.99897398</v>
      </c>
      <c r="AH102" s="39">
        <v>200.64180191</v>
      </c>
      <c r="AI102" s="39">
        <v>175.69923212</v>
      </c>
      <c r="AJ102" s="39">
        <v>168.99171392</v>
      </c>
      <c r="AK102" s="39">
        <v>180.22373683</v>
      </c>
      <c r="AL102" s="39">
        <v>215.43678645</v>
      </c>
      <c r="AM102" s="39">
        <v>279.89426689</v>
      </c>
      <c r="AN102" s="39">
        <v>302.58319037</v>
      </c>
      <c r="AO102" s="39">
        <v>275.28278402</v>
      </c>
      <c r="AP102" s="39">
        <v>283.11943691000005</v>
      </c>
      <c r="AQ102" s="39">
        <v>199.29539935</v>
      </c>
      <c r="AR102" s="39">
        <v>322.19598921</v>
      </c>
      <c r="AS102" s="39">
        <v>331.89241019</v>
      </c>
      <c r="AT102" s="59">
        <v>420.49316279000004</v>
      </c>
      <c r="AU102" s="8"/>
      <c r="AV102" s="22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8"/>
      <c r="BI102" s="22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23"/>
    </row>
    <row r="103" spans="2:86" ht="15">
      <c r="B103" s="37" t="s">
        <v>33</v>
      </c>
      <c r="C103" s="60">
        <v>190.87207596000002</v>
      </c>
      <c r="D103" s="39">
        <v>197.78008972</v>
      </c>
      <c r="E103" s="39">
        <v>349.66544171</v>
      </c>
      <c r="F103" s="39">
        <v>195.91731761000003</v>
      </c>
      <c r="G103" s="39">
        <v>214.92214984999998</v>
      </c>
      <c r="H103" s="39">
        <v>208.4537516</v>
      </c>
      <c r="I103" s="39">
        <v>193.10812225</v>
      </c>
      <c r="J103" s="39">
        <v>193.64225195000003</v>
      </c>
      <c r="K103" s="39">
        <v>200.83975637</v>
      </c>
      <c r="L103" s="39">
        <v>157.31828356</v>
      </c>
      <c r="M103" s="39">
        <v>166.04430052</v>
      </c>
      <c r="N103" s="39">
        <v>186.07211607</v>
      </c>
      <c r="O103" s="39">
        <v>192.64689433</v>
      </c>
      <c r="P103" s="39">
        <v>176.35011962000002</v>
      </c>
      <c r="Q103" s="39">
        <v>197.68369841</v>
      </c>
      <c r="R103" s="39">
        <v>212.92728731</v>
      </c>
      <c r="S103" s="39">
        <v>238.58860134</v>
      </c>
      <c r="T103" s="39">
        <v>174.99737243</v>
      </c>
      <c r="U103" s="39">
        <v>298.14132785000004</v>
      </c>
      <c r="V103" s="39">
        <v>310.69004497000003</v>
      </c>
      <c r="W103" s="59">
        <v>351.75385481</v>
      </c>
      <c r="X103" s="8"/>
      <c r="Y103" s="37" t="s">
        <v>33</v>
      </c>
      <c r="Z103" s="60">
        <v>140.24169555</v>
      </c>
      <c r="AA103" s="39">
        <v>149.82332768999999</v>
      </c>
      <c r="AB103" s="39">
        <v>20.97584041</v>
      </c>
      <c r="AC103" s="39">
        <v>140.26403772999998</v>
      </c>
      <c r="AD103" s="39">
        <v>154.12287097</v>
      </c>
      <c r="AE103" s="39">
        <v>142.77999381</v>
      </c>
      <c r="AF103" s="39">
        <v>196.18533730000001</v>
      </c>
      <c r="AG103" s="39">
        <v>189.65283430000002</v>
      </c>
      <c r="AH103" s="39">
        <v>162.72457681999998</v>
      </c>
      <c r="AI103" s="39">
        <v>164.76360067</v>
      </c>
      <c r="AJ103" s="39">
        <v>176.27153821000002</v>
      </c>
      <c r="AK103" s="39">
        <v>183.57499058000002</v>
      </c>
      <c r="AL103" s="39">
        <v>266.47589524</v>
      </c>
      <c r="AM103" s="39">
        <v>242.07249736000003</v>
      </c>
      <c r="AN103" s="39">
        <v>250.66776887999998</v>
      </c>
      <c r="AO103" s="39">
        <v>256.63966767</v>
      </c>
      <c r="AP103" s="39">
        <v>284.02237169</v>
      </c>
      <c r="AQ103" s="39">
        <v>260.91856975999997</v>
      </c>
      <c r="AR103" s="39">
        <v>369.18455558999995</v>
      </c>
      <c r="AS103" s="39">
        <v>339.47246469</v>
      </c>
      <c r="AT103" s="59">
        <v>326.71725365</v>
      </c>
      <c r="AU103" s="8"/>
      <c r="AV103" s="22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8"/>
      <c r="BI103" s="22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23"/>
    </row>
    <row r="104" spans="2:86" ht="15">
      <c r="B104" s="37" t="s">
        <v>34</v>
      </c>
      <c r="C104" s="60">
        <v>169.33034296</v>
      </c>
      <c r="D104" s="39">
        <v>193.90964374</v>
      </c>
      <c r="E104" s="39">
        <v>332.81060978000005</v>
      </c>
      <c r="F104" s="39">
        <v>226.34450132</v>
      </c>
      <c r="G104" s="39">
        <v>230.76121597</v>
      </c>
      <c r="H104" s="39">
        <v>190.02793022</v>
      </c>
      <c r="I104" s="39">
        <v>181.09512006999998</v>
      </c>
      <c r="J104" s="39">
        <v>204.93697128</v>
      </c>
      <c r="K104" s="39">
        <v>234.84133468000002</v>
      </c>
      <c r="L104" s="39">
        <v>171.30731193</v>
      </c>
      <c r="M104" s="39">
        <v>170.30998900999998</v>
      </c>
      <c r="N104" s="39">
        <v>168.22827799</v>
      </c>
      <c r="O104" s="39">
        <v>192.27757272</v>
      </c>
      <c r="P104" s="39">
        <v>220.25057365</v>
      </c>
      <c r="Q104" s="39">
        <v>226.72330773</v>
      </c>
      <c r="R104" s="39">
        <v>228.31153056</v>
      </c>
      <c r="S104" s="39">
        <v>240.09634640000002</v>
      </c>
      <c r="T104" s="39">
        <v>196.10678844</v>
      </c>
      <c r="U104" s="39">
        <v>314.38586853</v>
      </c>
      <c r="V104" s="39">
        <v>386.15812174</v>
      </c>
      <c r="W104" s="59">
        <v>360.06764208</v>
      </c>
      <c r="X104" s="8"/>
      <c r="Y104" s="37" t="s">
        <v>34</v>
      </c>
      <c r="Z104" s="60">
        <v>173.48796410999998</v>
      </c>
      <c r="AA104" s="39">
        <v>144.80039419</v>
      </c>
      <c r="AB104" s="39">
        <v>24.933841620000003</v>
      </c>
      <c r="AC104" s="39">
        <v>147.94855228</v>
      </c>
      <c r="AD104" s="39">
        <v>194.57059386</v>
      </c>
      <c r="AE104" s="39">
        <v>164.22248902</v>
      </c>
      <c r="AF104" s="39">
        <v>166.20687674</v>
      </c>
      <c r="AG104" s="39">
        <v>169.01955549000002</v>
      </c>
      <c r="AH104" s="39">
        <v>161.15416572</v>
      </c>
      <c r="AI104" s="39">
        <v>197.92076509</v>
      </c>
      <c r="AJ104" s="39">
        <v>206.11449084</v>
      </c>
      <c r="AK104" s="39">
        <v>221.70065947999998</v>
      </c>
      <c r="AL104" s="39">
        <v>222.82679321</v>
      </c>
      <c r="AM104" s="39">
        <v>242.89076709</v>
      </c>
      <c r="AN104" s="39">
        <v>266.83783661</v>
      </c>
      <c r="AO104" s="39">
        <v>324.38400507</v>
      </c>
      <c r="AP104" s="39">
        <v>353.07442265</v>
      </c>
      <c r="AQ104" s="39">
        <v>265.13107384</v>
      </c>
      <c r="AR104" s="39">
        <v>301.88665188</v>
      </c>
      <c r="AS104" s="39">
        <v>297.02622253</v>
      </c>
      <c r="AT104" s="59">
        <v>364.67419168000004</v>
      </c>
      <c r="AU104" s="8"/>
      <c r="AV104" s="22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8"/>
      <c r="BI104" s="22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23"/>
    </row>
    <row r="105" spans="2:86" ht="15">
      <c r="B105" s="37" t="s">
        <v>35</v>
      </c>
      <c r="C105" s="60">
        <v>174.36594943</v>
      </c>
      <c r="D105" s="39">
        <v>190.11503618999998</v>
      </c>
      <c r="E105" s="39">
        <v>262.84572151000003</v>
      </c>
      <c r="F105" s="39">
        <v>204.56639934</v>
      </c>
      <c r="G105" s="39">
        <v>211.10783402</v>
      </c>
      <c r="H105" s="39">
        <v>197.31445045</v>
      </c>
      <c r="I105" s="39">
        <v>183.14904371</v>
      </c>
      <c r="J105" s="39">
        <v>219.71561802000002</v>
      </c>
      <c r="K105" s="39">
        <v>226.48475915</v>
      </c>
      <c r="L105" s="39">
        <v>171.60710938999998</v>
      </c>
      <c r="M105" s="39">
        <v>174.82730497999998</v>
      </c>
      <c r="N105" s="39">
        <v>189.54744652000002</v>
      </c>
      <c r="O105" s="39">
        <v>200.15797666999998</v>
      </c>
      <c r="P105" s="39">
        <v>213.26976872999998</v>
      </c>
      <c r="Q105" s="39">
        <v>211.35870554</v>
      </c>
      <c r="R105" s="39">
        <v>222.41822062</v>
      </c>
      <c r="S105" s="39">
        <v>237.95553741</v>
      </c>
      <c r="T105" s="39">
        <v>225.24561241</v>
      </c>
      <c r="U105" s="39">
        <v>335.22086307999996</v>
      </c>
      <c r="V105" s="39">
        <v>355.17517505</v>
      </c>
      <c r="W105" s="59">
        <v>363.95443669</v>
      </c>
      <c r="X105" s="8"/>
      <c r="Y105" s="37" t="s">
        <v>35</v>
      </c>
      <c r="Z105" s="60">
        <v>133.27207087</v>
      </c>
      <c r="AA105" s="39">
        <v>147.74492641</v>
      </c>
      <c r="AB105" s="39">
        <v>37.97570787</v>
      </c>
      <c r="AC105" s="39">
        <v>173.05574284</v>
      </c>
      <c r="AD105" s="39">
        <v>149.6905328</v>
      </c>
      <c r="AE105" s="39">
        <v>140.63051575999998</v>
      </c>
      <c r="AF105" s="39">
        <v>162.07901230000002</v>
      </c>
      <c r="AG105" s="39">
        <v>160.56455268000002</v>
      </c>
      <c r="AH105" s="39">
        <v>192.62684202</v>
      </c>
      <c r="AI105" s="39">
        <v>155.344752</v>
      </c>
      <c r="AJ105" s="39">
        <v>164.74076293000002</v>
      </c>
      <c r="AK105" s="39">
        <v>181.18142408</v>
      </c>
      <c r="AL105" s="39">
        <v>225.9351232</v>
      </c>
      <c r="AM105" s="39">
        <v>288.8315585</v>
      </c>
      <c r="AN105" s="39">
        <v>291.66609959</v>
      </c>
      <c r="AO105" s="39">
        <v>254.87108722</v>
      </c>
      <c r="AP105" s="39">
        <v>287.17354357</v>
      </c>
      <c r="AQ105" s="39">
        <v>305.13449431</v>
      </c>
      <c r="AR105" s="39">
        <v>342.08021508999997</v>
      </c>
      <c r="AS105" s="39">
        <v>377.22561868</v>
      </c>
      <c r="AT105" s="59">
        <v>366.42286934</v>
      </c>
      <c r="AU105" s="8"/>
      <c r="AV105" s="22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8"/>
      <c r="BI105" s="22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23"/>
    </row>
    <row r="106" spans="2:86" ht="15">
      <c r="B106" s="37" t="s">
        <v>36</v>
      </c>
      <c r="C106" s="60">
        <v>209.31679026999998</v>
      </c>
      <c r="D106" s="39">
        <v>217.77072021</v>
      </c>
      <c r="E106" s="39">
        <v>196.63813634000002</v>
      </c>
      <c r="F106" s="39">
        <v>234.11097934</v>
      </c>
      <c r="G106" s="39">
        <v>267.90969729</v>
      </c>
      <c r="H106" s="39">
        <v>219.94326250999998</v>
      </c>
      <c r="I106" s="39">
        <v>188.20456467000002</v>
      </c>
      <c r="J106" s="39">
        <v>211.85114894</v>
      </c>
      <c r="K106" s="39">
        <v>237.02889836000003</v>
      </c>
      <c r="L106" s="39">
        <v>194.67629618</v>
      </c>
      <c r="M106" s="39">
        <v>195.10730524000002</v>
      </c>
      <c r="N106" s="39">
        <v>192.38664833</v>
      </c>
      <c r="O106" s="39">
        <v>213.92509237000002</v>
      </c>
      <c r="P106" s="39">
        <v>195.43364351</v>
      </c>
      <c r="Q106" s="39">
        <v>235.00692666</v>
      </c>
      <c r="R106" s="39">
        <v>270.49383821</v>
      </c>
      <c r="S106" s="39">
        <v>267.98511985</v>
      </c>
      <c r="T106" s="39">
        <v>251.01725184</v>
      </c>
      <c r="U106" s="39">
        <v>332.00038725999997</v>
      </c>
      <c r="V106" s="39">
        <v>353.96365427999996</v>
      </c>
      <c r="W106" s="59">
        <v>341.1972723599997</v>
      </c>
      <c r="X106" s="8"/>
      <c r="Y106" s="37" t="s">
        <v>36</v>
      </c>
      <c r="Z106" s="60">
        <v>173.32824142000004</v>
      </c>
      <c r="AA106" s="39">
        <v>164.0521554</v>
      </c>
      <c r="AB106" s="39">
        <v>82.92514809000001</v>
      </c>
      <c r="AC106" s="39">
        <v>144.31363228</v>
      </c>
      <c r="AD106" s="39">
        <v>154.08282327</v>
      </c>
      <c r="AE106" s="39">
        <v>170.43588374</v>
      </c>
      <c r="AF106" s="39">
        <v>192.11331515</v>
      </c>
      <c r="AG106" s="39">
        <v>191.63499253</v>
      </c>
      <c r="AH106" s="39">
        <v>147.30823400999998</v>
      </c>
      <c r="AI106" s="39">
        <v>173.41058332</v>
      </c>
      <c r="AJ106" s="39">
        <v>207.56484956</v>
      </c>
      <c r="AK106" s="39">
        <v>227.62707293</v>
      </c>
      <c r="AL106" s="39">
        <v>260.91033423</v>
      </c>
      <c r="AM106" s="39">
        <v>237.29511927000001</v>
      </c>
      <c r="AN106" s="39">
        <v>246.57836044</v>
      </c>
      <c r="AO106" s="39">
        <v>271.10100117</v>
      </c>
      <c r="AP106" s="39">
        <v>344.67155975</v>
      </c>
      <c r="AQ106" s="39">
        <v>337.54556614999996</v>
      </c>
      <c r="AR106" s="39">
        <v>345.40061675</v>
      </c>
      <c r="AS106" s="39">
        <v>298.76383221</v>
      </c>
      <c r="AT106" s="59">
        <v>285.67530485</v>
      </c>
      <c r="AU106" s="8"/>
      <c r="AV106" s="22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8"/>
      <c r="BI106" s="22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23"/>
    </row>
    <row r="107" spans="2:86" ht="15">
      <c r="B107" s="37" t="s">
        <v>37</v>
      </c>
      <c r="C107" s="60">
        <v>213.95053700999998</v>
      </c>
      <c r="D107" s="39">
        <v>236.51251476</v>
      </c>
      <c r="E107" s="39">
        <v>254.31713273000003</v>
      </c>
      <c r="F107" s="39">
        <v>268.14262469</v>
      </c>
      <c r="G107" s="39">
        <v>261.5262242</v>
      </c>
      <c r="H107" s="39">
        <v>217.45989197</v>
      </c>
      <c r="I107" s="39">
        <v>189.94784928</v>
      </c>
      <c r="J107" s="39">
        <v>240.43968984</v>
      </c>
      <c r="K107" s="39">
        <v>258.32372898</v>
      </c>
      <c r="L107" s="39">
        <v>192.20883378</v>
      </c>
      <c r="M107" s="39">
        <v>187.84714939</v>
      </c>
      <c r="N107" s="39">
        <v>193.92573416</v>
      </c>
      <c r="O107" s="39">
        <v>215.99913983000002</v>
      </c>
      <c r="P107" s="39">
        <v>236.81282424</v>
      </c>
      <c r="Q107" s="39">
        <v>247.18071679</v>
      </c>
      <c r="R107" s="39">
        <v>272.98213322000004</v>
      </c>
      <c r="S107" s="39">
        <v>263.81014897</v>
      </c>
      <c r="T107" s="39">
        <v>266.84941641</v>
      </c>
      <c r="U107" s="39">
        <v>349.33881986</v>
      </c>
      <c r="V107" s="39">
        <v>395.35475858</v>
      </c>
      <c r="W107" s="59"/>
      <c r="X107" s="8"/>
      <c r="Y107" s="37" t="s">
        <v>37</v>
      </c>
      <c r="Z107" s="60">
        <v>133.23380945</v>
      </c>
      <c r="AA107" s="39">
        <v>147.18739119</v>
      </c>
      <c r="AB107" s="39">
        <v>124.16109512999999</v>
      </c>
      <c r="AC107" s="39">
        <v>168.62785296</v>
      </c>
      <c r="AD107" s="39">
        <v>185.38555952000002</v>
      </c>
      <c r="AE107" s="39">
        <v>153.53542389</v>
      </c>
      <c r="AF107" s="39">
        <v>159.02731235</v>
      </c>
      <c r="AG107" s="39">
        <v>168.47338022999998</v>
      </c>
      <c r="AH107" s="39">
        <v>159.61383143999998</v>
      </c>
      <c r="AI107" s="39">
        <v>187.62070958</v>
      </c>
      <c r="AJ107" s="39">
        <v>178.72771231000002</v>
      </c>
      <c r="AK107" s="39">
        <v>203.45993423</v>
      </c>
      <c r="AL107" s="39">
        <v>227.33192381</v>
      </c>
      <c r="AM107" s="39">
        <v>240.95396503</v>
      </c>
      <c r="AN107" s="39">
        <v>272.61009277</v>
      </c>
      <c r="AO107" s="39">
        <v>313.17450332</v>
      </c>
      <c r="AP107" s="39">
        <v>297.8587942</v>
      </c>
      <c r="AQ107" s="39">
        <v>303.63403482</v>
      </c>
      <c r="AR107" s="39">
        <v>309.14731169</v>
      </c>
      <c r="AS107" s="39">
        <v>324.10976437</v>
      </c>
      <c r="AT107" s="59"/>
      <c r="AU107" s="8"/>
      <c r="AV107" s="22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8"/>
      <c r="BI107" s="22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23"/>
    </row>
    <row r="108" spans="2:86" ht="15.75" thickBot="1">
      <c r="B108" s="37" t="s">
        <v>38</v>
      </c>
      <c r="C108" s="60">
        <v>223.34059128</v>
      </c>
      <c r="D108" s="39">
        <v>285.62291655</v>
      </c>
      <c r="E108" s="39">
        <v>240.11793676</v>
      </c>
      <c r="F108" s="39">
        <v>224.64103648000003</v>
      </c>
      <c r="G108" s="39">
        <v>219.25602167000002</v>
      </c>
      <c r="H108" s="39">
        <v>210.70557973</v>
      </c>
      <c r="I108" s="39">
        <v>209.9740905</v>
      </c>
      <c r="J108" s="39">
        <v>226.2568454</v>
      </c>
      <c r="K108" s="39">
        <v>230.70011700999999</v>
      </c>
      <c r="L108" s="39">
        <v>151.31949862000002</v>
      </c>
      <c r="M108" s="39">
        <v>164.70179393</v>
      </c>
      <c r="N108" s="39">
        <v>179.22886318000002</v>
      </c>
      <c r="O108" s="39">
        <v>194.19752793</v>
      </c>
      <c r="P108" s="39">
        <v>202.38421226</v>
      </c>
      <c r="Q108" s="39">
        <v>215.62724484</v>
      </c>
      <c r="R108" s="39">
        <v>220.78715384</v>
      </c>
      <c r="S108" s="39">
        <v>234.00067934</v>
      </c>
      <c r="T108" s="39">
        <v>297.76588807</v>
      </c>
      <c r="U108" s="39">
        <v>324.2487567</v>
      </c>
      <c r="V108" s="39">
        <v>353.20940263</v>
      </c>
      <c r="W108" s="59"/>
      <c r="X108" s="8"/>
      <c r="Y108" s="37" t="s">
        <v>38</v>
      </c>
      <c r="Z108" s="60">
        <v>134.05566981</v>
      </c>
      <c r="AA108" s="39">
        <v>161.14307617000003</v>
      </c>
      <c r="AB108" s="39">
        <v>179.51208773</v>
      </c>
      <c r="AC108" s="39">
        <v>194.95257708000003</v>
      </c>
      <c r="AD108" s="39">
        <v>171.25665175999998</v>
      </c>
      <c r="AE108" s="39">
        <v>173.20137599</v>
      </c>
      <c r="AF108" s="39">
        <v>189.0850944</v>
      </c>
      <c r="AG108" s="39">
        <v>224.13169117</v>
      </c>
      <c r="AH108" s="39">
        <v>209.71497788999997</v>
      </c>
      <c r="AI108" s="39">
        <v>142.31253906</v>
      </c>
      <c r="AJ108" s="39">
        <v>192.17681156999998</v>
      </c>
      <c r="AK108" s="39">
        <v>222.37468517</v>
      </c>
      <c r="AL108" s="39">
        <v>252.27263574</v>
      </c>
      <c r="AM108" s="39">
        <v>327.00099967</v>
      </c>
      <c r="AN108" s="39">
        <v>330.67103189</v>
      </c>
      <c r="AO108" s="39">
        <v>300.502522</v>
      </c>
      <c r="AP108" s="39">
        <v>317.03901401999997</v>
      </c>
      <c r="AQ108" s="39">
        <v>414.63183554</v>
      </c>
      <c r="AR108" s="39">
        <v>404.66145272000006</v>
      </c>
      <c r="AS108" s="39">
        <v>393.49727673</v>
      </c>
      <c r="AT108" s="59"/>
      <c r="AU108" s="8"/>
      <c r="AV108" s="22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8"/>
      <c r="BI108" s="22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23"/>
    </row>
    <row r="109" spans="2:86" ht="15.75" thickBot="1">
      <c r="B109" s="35" t="s">
        <v>3</v>
      </c>
      <c r="C109" s="43">
        <f>SUM(C97:C108)</f>
        <v>2383.9499501200003</v>
      </c>
      <c r="D109" s="36">
        <f>SUM(D97:D108)</f>
        <v>2427.0819814</v>
      </c>
      <c r="E109" s="36">
        <f aca="true" t="shared" si="8" ref="E109:R109">SUM(E97:E108)</f>
        <v>3714.50630848</v>
      </c>
      <c r="F109" s="36">
        <f t="shared" si="8"/>
        <v>2603.48933681</v>
      </c>
      <c r="G109" s="36">
        <f t="shared" si="8"/>
        <v>2653.92853123</v>
      </c>
      <c r="H109" s="36">
        <f t="shared" si="8"/>
        <v>2427.2388284900003</v>
      </c>
      <c r="I109" s="36">
        <f t="shared" si="8"/>
        <v>2138.8422585599997</v>
      </c>
      <c r="J109" s="36">
        <f t="shared" si="8"/>
        <v>2367.70432527</v>
      </c>
      <c r="K109" s="36">
        <f t="shared" si="8"/>
        <v>2532.61221123</v>
      </c>
      <c r="L109" s="36">
        <f t="shared" si="8"/>
        <v>2310.89733427</v>
      </c>
      <c r="M109" s="36">
        <f t="shared" si="8"/>
        <v>1965.04153039</v>
      </c>
      <c r="N109" s="36">
        <f t="shared" si="8"/>
        <v>2043.60416644</v>
      </c>
      <c r="O109" s="36">
        <f t="shared" si="8"/>
        <v>2157.2338033200003</v>
      </c>
      <c r="P109" s="36">
        <f t="shared" si="8"/>
        <v>2322.8821838399995</v>
      </c>
      <c r="Q109" s="36">
        <f t="shared" si="8"/>
        <v>2454.8161198700004</v>
      </c>
      <c r="R109" s="36">
        <f t="shared" si="8"/>
        <v>2575.81119293</v>
      </c>
      <c r="S109" s="36">
        <v>2711.5072556100004</v>
      </c>
      <c r="T109" s="36">
        <f>SUM(T97:T108)</f>
        <v>2487.35280844</v>
      </c>
      <c r="U109" s="36">
        <v>3485.3587312</v>
      </c>
      <c r="V109" s="36">
        <f>SUM(V97:V108)</f>
        <v>3902.64975567</v>
      </c>
      <c r="W109" s="58">
        <f>SUM(W97:W108)</f>
        <v>3283.15669872</v>
      </c>
      <c r="X109" s="8"/>
      <c r="Y109" s="35" t="s">
        <v>3</v>
      </c>
      <c r="Z109" s="43">
        <f>SUM(Z97:Z108)</f>
        <v>1496.91594746</v>
      </c>
      <c r="AA109" s="36">
        <f>SUM(AA97:AA108)</f>
        <v>1768.69689653</v>
      </c>
      <c r="AB109" s="36">
        <f aca="true" t="shared" si="9" ref="AB109:AP109">SUM(AB97:AB108)</f>
        <v>485.31044539000004</v>
      </c>
      <c r="AC109" s="36">
        <f t="shared" si="9"/>
        <v>1942.67026011</v>
      </c>
      <c r="AD109" s="36">
        <f t="shared" si="9"/>
        <v>2047.3223960500002</v>
      </c>
      <c r="AE109" s="36">
        <f t="shared" si="9"/>
        <v>1938.35808087</v>
      </c>
      <c r="AF109" s="36">
        <f t="shared" si="9"/>
        <v>2184.21394032</v>
      </c>
      <c r="AG109" s="36">
        <f t="shared" si="9"/>
        <v>2178.7397809699996</v>
      </c>
      <c r="AH109" s="36">
        <f t="shared" si="9"/>
        <v>2125.44595888</v>
      </c>
      <c r="AI109" s="36">
        <f t="shared" si="9"/>
        <v>2103.1629380199997</v>
      </c>
      <c r="AJ109" s="36">
        <f t="shared" si="9"/>
        <v>2297.47042928</v>
      </c>
      <c r="AK109" s="36">
        <f t="shared" si="9"/>
        <v>2445.1021044699996</v>
      </c>
      <c r="AL109" s="36">
        <f t="shared" si="9"/>
        <v>2898.91932652</v>
      </c>
      <c r="AM109" s="36">
        <f t="shared" si="9"/>
        <v>3195.31023637</v>
      </c>
      <c r="AN109" s="36">
        <f t="shared" si="9"/>
        <v>3296.4373124</v>
      </c>
      <c r="AO109" s="36">
        <f t="shared" si="9"/>
        <v>3417.37042036</v>
      </c>
      <c r="AP109" s="36">
        <f t="shared" si="9"/>
        <v>3743.44460927</v>
      </c>
      <c r="AQ109" s="36">
        <f>SUM(AQ97:AQ108)</f>
        <v>3484.7436481499994</v>
      </c>
      <c r="AR109" s="36">
        <v>4066.2946505699997</v>
      </c>
      <c r="AS109" s="36">
        <f>SUM(AS97:AS108)</f>
        <v>4038.87009421</v>
      </c>
      <c r="AT109" s="58">
        <f>SUM(AT97:AT108)</f>
        <v>3501.67374392</v>
      </c>
      <c r="AU109" s="8"/>
      <c r="AV109" s="22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8"/>
      <c r="BI109" s="22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23"/>
    </row>
    <row r="110" spans="2:85" ht="15">
      <c r="B110" s="4" t="s">
        <v>4</v>
      </c>
      <c r="C110" s="4"/>
      <c r="D110" s="4"/>
      <c r="E110" s="4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8"/>
      <c r="Q110" s="8"/>
      <c r="R110" s="8"/>
      <c r="S110" s="8"/>
      <c r="T110" s="8"/>
      <c r="U110" s="8"/>
      <c r="V110" s="8"/>
      <c r="W110" s="8"/>
      <c r="Y110" s="4" t="s">
        <v>4</v>
      </c>
      <c r="Z110" s="4"/>
      <c r="AA110" s="4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8"/>
      <c r="AN110" s="8"/>
      <c r="AO110" s="8"/>
      <c r="AP110" s="8"/>
      <c r="AQ110" s="8"/>
      <c r="AR110" s="8"/>
      <c r="AS110" s="8"/>
      <c r="AT110" s="8"/>
      <c r="AU110" s="22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8"/>
      <c r="BH110" s="22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23"/>
    </row>
    <row r="111" spans="2:85" ht="15">
      <c r="B111" s="73" t="s">
        <v>5</v>
      </c>
      <c r="C111" s="73"/>
      <c r="D111" s="73"/>
      <c r="E111" s="73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8"/>
      <c r="Q111" s="8"/>
      <c r="R111" s="8"/>
      <c r="S111" s="8"/>
      <c r="T111" s="8"/>
      <c r="U111" s="8"/>
      <c r="V111" s="8"/>
      <c r="W111" s="8"/>
      <c r="X111" s="50"/>
      <c r="Y111" s="50" t="s">
        <v>5</v>
      </c>
      <c r="Z111" s="50"/>
      <c r="AA111" s="50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8"/>
      <c r="AN111" s="8"/>
      <c r="AO111" s="8"/>
      <c r="AP111" s="8"/>
      <c r="AQ111" s="8"/>
      <c r="AR111" s="8"/>
      <c r="AS111" s="8"/>
      <c r="AT111" s="8"/>
      <c r="AU111" s="22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8"/>
      <c r="BH111" s="22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23"/>
    </row>
    <row r="112" spans="2:85" ht="15">
      <c r="B112" s="21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8"/>
      <c r="Q112" s="8"/>
      <c r="R112" s="8"/>
      <c r="S112" s="8"/>
      <c r="T112" s="8"/>
      <c r="U112" s="8"/>
      <c r="V112" s="8"/>
      <c r="W112" s="8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8"/>
      <c r="AN112" s="8"/>
      <c r="AO112" s="8"/>
      <c r="AP112" s="8"/>
      <c r="AQ112" s="8"/>
      <c r="AR112" s="8"/>
      <c r="AS112" s="8"/>
      <c r="AT112" s="8"/>
      <c r="AU112" s="22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8"/>
      <c r="BH112" s="22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23"/>
    </row>
    <row r="113" spans="2:85" ht="28.5" customHeight="1">
      <c r="B113" s="75" t="s">
        <v>21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49"/>
      <c r="Y113" s="75" t="s">
        <v>19</v>
      </c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22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8"/>
      <c r="BH113" s="22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23"/>
    </row>
    <row r="114" spans="2:85" ht="15">
      <c r="B114" s="72" t="s">
        <v>39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Y114" s="72" t="s">
        <v>39</v>
      </c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22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8"/>
      <c r="BH114" s="22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23"/>
    </row>
    <row r="115" spans="2:85" ht="15.75" thickBot="1">
      <c r="B115" s="71" t="s">
        <v>1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Y115" s="71" t="s">
        <v>1</v>
      </c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24"/>
      <c r="AV115" s="25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7"/>
      <c r="BH115" s="24"/>
      <c r="BI115" s="25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8"/>
    </row>
    <row r="116" spans="2:86" ht="33" customHeight="1" thickBot="1">
      <c r="B116" s="33" t="s">
        <v>2</v>
      </c>
      <c r="C116" s="41">
        <v>2003</v>
      </c>
      <c r="D116" s="34">
        <v>2004</v>
      </c>
      <c r="E116" s="34">
        <v>2005</v>
      </c>
      <c r="F116" s="34">
        <v>2006</v>
      </c>
      <c r="G116" s="34">
        <v>2007</v>
      </c>
      <c r="H116" s="34">
        <v>2008</v>
      </c>
      <c r="I116" s="34">
        <v>2009</v>
      </c>
      <c r="J116" s="34">
        <v>2010</v>
      </c>
      <c r="K116" s="34">
        <v>2011</v>
      </c>
      <c r="L116" s="34">
        <v>2012</v>
      </c>
      <c r="M116" s="34">
        <v>2013</v>
      </c>
      <c r="N116" s="34">
        <v>2014</v>
      </c>
      <c r="O116" s="34">
        <v>2015</v>
      </c>
      <c r="P116" s="34">
        <v>2016</v>
      </c>
      <c r="Q116" s="34">
        <v>2017</v>
      </c>
      <c r="R116" s="34">
        <v>2018</v>
      </c>
      <c r="S116" s="34">
        <v>2019</v>
      </c>
      <c r="T116" s="34">
        <v>2020</v>
      </c>
      <c r="U116" s="34">
        <v>2021</v>
      </c>
      <c r="V116" s="34">
        <v>2022</v>
      </c>
      <c r="W116" s="55">
        <v>2023</v>
      </c>
      <c r="X116" s="52"/>
      <c r="Y116" s="33" t="s">
        <v>2</v>
      </c>
      <c r="Z116" s="41">
        <v>2003</v>
      </c>
      <c r="AA116" s="34">
        <v>2004</v>
      </c>
      <c r="AB116" s="34">
        <v>2005</v>
      </c>
      <c r="AC116" s="34">
        <v>2006</v>
      </c>
      <c r="AD116" s="34">
        <v>2007</v>
      </c>
      <c r="AE116" s="34">
        <v>2008</v>
      </c>
      <c r="AF116" s="34">
        <v>2009</v>
      </c>
      <c r="AG116" s="34">
        <v>2010</v>
      </c>
      <c r="AH116" s="34">
        <v>2011</v>
      </c>
      <c r="AI116" s="34">
        <v>2012</v>
      </c>
      <c r="AJ116" s="34">
        <v>2013</v>
      </c>
      <c r="AK116" s="34">
        <v>2014</v>
      </c>
      <c r="AL116" s="34">
        <v>2015</v>
      </c>
      <c r="AM116" s="34">
        <v>2016</v>
      </c>
      <c r="AN116" s="34">
        <v>2017</v>
      </c>
      <c r="AO116" s="34">
        <v>2018</v>
      </c>
      <c r="AP116" s="34">
        <v>2019</v>
      </c>
      <c r="AQ116" s="34">
        <v>2020</v>
      </c>
      <c r="AR116" s="34">
        <v>2021</v>
      </c>
      <c r="AS116" s="34">
        <v>2022</v>
      </c>
      <c r="AT116" s="55">
        <v>2023</v>
      </c>
      <c r="AU116" s="7"/>
      <c r="BH116" s="7"/>
      <c r="BU116" s="1"/>
      <c r="CH116" s="29"/>
    </row>
    <row r="117" spans="2:86" ht="3.75" customHeight="1"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56"/>
      <c r="X117" s="7"/>
      <c r="Y117" s="46"/>
      <c r="Z117" s="47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56"/>
      <c r="AU117" s="7"/>
      <c r="BH117" s="7"/>
      <c r="BU117" s="1"/>
      <c r="CH117" s="29"/>
    </row>
    <row r="118" spans="2:86" ht="15">
      <c r="B118" s="37" t="s">
        <v>27</v>
      </c>
      <c r="C118" s="60">
        <v>23.408500810000003</v>
      </c>
      <c r="D118" s="39">
        <v>22.44361881</v>
      </c>
      <c r="E118" s="39">
        <v>31.22462562</v>
      </c>
      <c r="F118" s="39">
        <v>40.91271581</v>
      </c>
      <c r="G118" s="39">
        <v>32.19321629</v>
      </c>
      <c r="H118" s="39">
        <v>27.132873760000003</v>
      </c>
      <c r="I118" s="39">
        <v>178.1325951</v>
      </c>
      <c r="J118" s="39">
        <v>93.12521296000001</v>
      </c>
      <c r="K118" s="39">
        <v>77.10498886</v>
      </c>
      <c r="L118" s="39">
        <v>40.099259350000004</v>
      </c>
      <c r="M118" s="39">
        <v>118.69143344</v>
      </c>
      <c r="N118" s="39">
        <v>33.530012219999996</v>
      </c>
      <c r="O118" s="39">
        <v>28.60795994</v>
      </c>
      <c r="P118" s="39">
        <v>32.05287637</v>
      </c>
      <c r="Q118" s="39">
        <v>32.66619085</v>
      </c>
      <c r="R118" s="39">
        <v>40.577225090000006</v>
      </c>
      <c r="S118" s="39">
        <v>46.79162393</v>
      </c>
      <c r="T118" s="39">
        <v>37.6346284</v>
      </c>
      <c r="U118" s="39">
        <v>37.91561425</v>
      </c>
      <c r="V118" s="39">
        <v>49.666366909999994</v>
      </c>
      <c r="W118" s="59">
        <v>54.93030294</v>
      </c>
      <c r="X118" s="8"/>
      <c r="Y118" s="37" t="s">
        <v>27</v>
      </c>
      <c r="Z118" s="60">
        <v>8.50397339</v>
      </c>
      <c r="AA118" s="39">
        <v>7.95349499</v>
      </c>
      <c r="AB118" s="39">
        <v>13.611166460000002</v>
      </c>
      <c r="AC118" s="39">
        <v>15.722607389999999</v>
      </c>
      <c r="AD118" s="39">
        <v>18.04243523</v>
      </c>
      <c r="AE118" s="39">
        <v>18.525108019999998</v>
      </c>
      <c r="AF118" s="39">
        <v>23.667532650000002</v>
      </c>
      <c r="AG118" s="39">
        <v>25.78837117</v>
      </c>
      <c r="AH118" s="39">
        <v>29.56885268</v>
      </c>
      <c r="AI118" s="39">
        <v>36.55264539</v>
      </c>
      <c r="AJ118" s="39">
        <v>57.129585750000004</v>
      </c>
      <c r="AK118" s="39">
        <v>29.97270526</v>
      </c>
      <c r="AL118" s="39">
        <v>34.85159529</v>
      </c>
      <c r="AM118" s="39">
        <v>41.907522480000004</v>
      </c>
      <c r="AN118" s="39">
        <v>43.50667108</v>
      </c>
      <c r="AO118" s="39">
        <v>46.62986780000001</v>
      </c>
      <c r="AP118" s="39">
        <v>56.63313617</v>
      </c>
      <c r="AQ118" s="39">
        <v>65.24923482999999</v>
      </c>
      <c r="AR118" s="39">
        <v>84.92728283000001</v>
      </c>
      <c r="AS118" s="39">
        <v>87.49071602</v>
      </c>
      <c r="AT118" s="59">
        <v>96.61563747</v>
      </c>
      <c r="AU118" s="8"/>
      <c r="BH118" s="8"/>
      <c r="BU118" s="2"/>
      <c r="CH118" s="23"/>
    </row>
    <row r="119" spans="2:86" ht="15">
      <c r="B119" s="37" t="s">
        <v>28</v>
      </c>
      <c r="C119" s="60">
        <v>10.382027449999999</v>
      </c>
      <c r="D119" s="39">
        <v>19.99458469</v>
      </c>
      <c r="E119" s="39">
        <v>23.13413926</v>
      </c>
      <c r="F119" s="39">
        <v>23.71460853</v>
      </c>
      <c r="G119" s="39">
        <v>41.547275</v>
      </c>
      <c r="H119" s="39">
        <v>32.430386760000005</v>
      </c>
      <c r="I119" s="39">
        <v>29.5052785</v>
      </c>
      <c r="J119" s="39">
        <v>31.53998979</v>
      </c>
      <c r="K119" s="39">
        <v>42.19462379</v>
      </c>
      <c r="L119" s="39">
        <v>71.99364958</v>
      </c>
      <c r="M119" s="39">
        <v>27.116925809999998</v>
      </c>
      <c r="N119" s="39">
        <v>33.30158536</v>
      </c>
      <c r="O119" s="39">
        <v>27.022903210000003</v>
      </c>
      <c r="P119" s="39">
        <v>27.394815079999997</v>
      </c>
      <c r="Q119" s="39">
        <v>32.24242153</v>
      </c>
      <c r="R119" s="39">
        <v>40.44455802</v>
      </c>
      <c r="S119" s="39">
        <v>32.97093395</v>
      </c>
      <c r="T119" s="39">
        <v>35.50264019</v>
      </c>
      <c r="U119" s="39">
        <v>43.5261423</v>
      </c>
      <c r="V119" s="39">
        <v>43.67960876</v>
      </c>
      <c r="W119" s="59">
        <v>49.387770020000005</v>
      </c>
      <c r="X119" s="8"/>
      <c r="Y119" s="37" t="s">
        <v>28</v>
      </c>
      <c r="Z119" s="60">
        <v>17.85991845</v>
      </c>
      <c r="AA119" s="39">
        <v>9.93011834</v>
      </c>
      <c r="AB119" s="39">
        <v>19.76784102</v>
      </c>
      <c r="AC119" s="39">
        <v>19.099741450000003</v>
      </c>
      <c r="AD119" s="39">
        <v>25.251045949999998</v>
      </c>
      <c r="AE119" s="39">
        <v>26.471819689999997</v>
      </c>
      <c r="AF119" s="39">
        <v>29.28448647</v>
      </c>
      <c r="AG119" s="39">
        <v>31.906816800000005</v>
      </c>
      <c r="AH119" s="39">
        <v>36.43211297</v>
      </c>
      <c r="AI119" s="39">
        <v>46.349657640000004</v>
      </c>
      <c r="AJ119" s="39">
        <v>54.00702914</v>
      </c>
      <c r="AK119" s="39">
        <v>30.060628100000002</v>
      </c>
      <c r="AL119" s="39">
        <v>37.215409109999996</v>
      </c>
      <c r="AM119" s="39">
        <v>46.327898270000006</v>
      </c>
      <c r="AN119" s="39">
        <v>43.395929280000004</v>
      </c>
      <c r="AO119" s="39">
        <v>44.72357197</v>
      </c>
      <c r="AP119" s="39">
        <v>51.41363831999999</v>
      </c>
      <c r="AQ119" s="39">
        <v>54.91954688</v>
      </c>
      <c r="AR119" s="39">
        <v>73.58250267</v>
      </c>
      <c r="AS119" s="39">
        <v>71.17759996</v>
      </c>
      <c r="AT119" s="59">
        <v>74.14531874</v>
      </c>
      <c r="AU119" s="8"/>
      <c r="BH119" s="8"/>
      <c r="BU119" s="2"/>
      <c r="CH119" s="23"/>
    </row>
    <row r="120" spans="2:86" ht="15">
      <c r="B120" s="37" t="s">
        <v>29</v>
      </c>
      <c r="C120" s="60">
        <v>10.39130107</v>
      </c>
      <c r="D120" s="39">
        <v>27.78223303</v>
      </c>
      <c r="E120" s="39">
        <v>21.39601293</v>
      </c>
      <c r="F120" s="39">
        <v>32.67021198</v>
      </c>
      <c r="G120" s="39">
        <v>33.64401188</v>
      </c>
      <c r="H120" s="39">
        <v>32.00777088</v>
      </c>
      <c r="I120" s="39">
        <v>36.75725091</v>
      </c>
      <c r="J120" s="39">
        <v>29.06073578</v>
      </c>
      <c r="K120" s="39">
        <v>54.955185979999996</v>
      </c>
      <c r="L120" s="39">
        <v>187.81523259</v>
      </c>
      <c r="M120" s="39">
        <v>28.22938261</v>
      </c>
      <c r="N120" s="39">
        <v>29.943255760000003</v>
      </c>
      <c r="O120" s="39">
        <v>31.439146649999998</v>
      </c>
      <c r="P120" s="39">
        <v>27.953154899999998</v>
      </c>
      <c r="Q120" s="39">
        <v>34.78096286</v>
      </c>
      <c r="R120" s="39">
        <v>36.094135810000004</v>
      </c>
      <c r="S120" s="39">
        <v>32.98529333</v>
      </c>
      <c r="T120" s="39">
        <v>27.348104170000003</v>
      </c>
      <c r="U120" s="39">
        <v>48.959095049999995</v>
      </c>
      <c r="V120" s="39">
        <v>53.58782582</v>
      </c>
      <c r="W120" s="59">
        <v>53.09574078</v>
      </c>
      <c r="X120" s="12"/>
      <c r="Y120" s="37" t="s">
        <v>29</v>
      </c>
      <c r="Z120" s="60">
        <v>35.19607394</v>
      </c>
      <c r="AA120" s="39">
        <v>11.407589360000001</v>
      </c>
      <c r="AB120" s="39">
        <v>38.10509307</v>
      </c>
      <c r="AC120" s="39">
        <v>28.24065621</v>
      </c>
      <c r="AD120" s="39">
        <v>34.362733860000006</v>
      </c>
      <c r="AE120" s="39">
        <v>28.332552210000003</v>
      </c>
      <c r="AF120" s="39">
        <v>43.89458483999999</v>
      </c>
      <c r="AG120" s="39">
        <v>36.9651439</v>
      </c>
      <c r="AH120" s="39">
        <v>57.88090873</v>
      </c>
      <c r="AI120" s="39">
        <v>49.05986971000001</v>
      </c>
      <c r="AJ120" s="39">
        <v>51.84644823</v>
      </c>
      <c r="AK120" s="39">
        <v>34.48262334</v>
      </c>
      <c r="AL120" s="39">
        <v>46.88424044</v>
      </c>
      <c r="AM120" s="39">
        <v>48.81404125</v>
      </c>
      <c r="AN120" s="39">
        <v>50.93768946</v>
      </c>
      <c r="AO120" s="39">
        <v>43.2915061</v>
      </c>
      <c r="AP120" s="39">
        <v>51.88946929</v>
      </c>
      <c r="AQ120" s="39">
        <v>36.326233650000006</v>
      </c>
      <c r="AR120" s="39">
        <v>73.68992999</v>
      </c>
      <c r="AS120" s="39">
        <v>75.74325601000001</v>
      </c>
      <c r="AT120" s="59">
        <v>80.55520015</v>
      </c>
      <c r="AU120" s="12"/>
      <c r="BH120" s="12"/>
      <c r="BU120" s="13"/>
      <c r="CH120" s="30"/>
    </row>
    <row r="121" spans="2:86" ht="15">
      <c r="B121" s="37" t="s">
        <v>30</v>
      </c>
      <c r="C121" s="60">
        <v>12.17331843</v>
      </c>
      <c r="D121" s="39">
        <v>25.88065865</v>
      </c>
      <c r="E121" s="39">
        <v>33.71287156</v>
      </c>
      <c r="F121" s="39">
        <v>33.23729736</v>
      </c>
      <c r="G121" s="39">
        <v>48.64058629</v>
      </c>
      <c r="H121" s="39">
        <v>39.09682422</v>
      </c>
      <c r="I121" s="39">
        <v>40.636523579999995</v>
      </c>
      <c r="J121" s="39">
        <v>49.53493975</v>
      </c>
      <c r="K121" s="39">
        <v>47.90054631</v>
      </c>
      <c r="L121" s="39">
        <v>48.24445574</v>
      </c>
      <c r="M121" s="39">
        <v>26.69356248</v>
      </c>
      <c r="N121" s="39">
        <v>26.82769446</v>
      </c>
      <c r="O121" s="39">
        <v>28.73608219</v>
      </c>
      <c r="P121" s="39">
        <v>30.49004486</v>
      </c>
      <c r="Q121" s="39">
        <v>27.71187813</v>
      </c>
      <c r="R121" s="39">
        <v>33.78021185</v>
      </c>
      <c r="S121" s="39">
        <v>34.45256289</v>
      </c>
      <c r="T121" s="39">
        <v>14.976494689999999</v>
      </c>
      <c r="U121" s="39">
        <v>42.09375425</v>
      </c>
      <c r="V121" s="39">
        <v>45.34766693</v>
      </c>
      <c r="W121" s="59">
        <v>36.1636088</v>
      </c>
      <c r="X121" s="12"/>
      <c r="Y121" s="37" t="s">
        <v>30</v>
      </c>
      <c r="Z121" s="60">
        <v>37.25297881</v>
      </c>
      <c r="AA121" s="39">
        <v>14.49941028</v>
      </c>
      <c r="AB121" s="39">
        <v>75.28829605</v>
      </c>
      <c r="AC121" s="39">
        <v>28.29339891</v>
      </c>
      <c r="AD121" s="39">
        <v>33.92223412</v>
      </c>
      <c r="AE121" s="39">
        <v>44.27314233</v>
      </c>
      <c r="AF121" s="39">
        <v>47.22579577</v>
      </c>
      <c r="AG121" s="39">
        <v>39.90503163</v>
      </c>
      <c r="AH121" s="39">
        <v>44.241810629999996</v>
      </c>
      <c r="AI121" s="39">
        <v>38.48188899</v>
      </c>
      <c r="AJ121" s="39">
        <v>67.56861925000001</v>
      </c>
      <c r="AK121" s="39">
        <v>31.47249547</v>
      </c>
      <c r="AL121" s="39">
        <v>42.55021599</v>
      </c>
      <c r="AM121" s="39">
        <v>50.24066137999999</v>
      </c>
      <c r="AN121" s="39">
        <v>39.79838411</v>
      </c>
      <c r="AO121" s="39">
        <v>48.89560127</v>
      </c>
      <c r="AP121" s="39">
        <v>48.353327039999996</v>
      </c>
      <c r="AQ121" s="39">
        <v>22.79495758</v>
      </c>
      <c r="AR121" s="39">
        <v>64.43256955999999</v>
      </c>
      <c r="AS121" s="39">
        <v>61.59733515</v>
      </c>
      <c r="AT121" s="59">
        <v>58.904109459999994</v>
      </c>
      <c r="AU121" s="12"/>
      <c r="BH121" s="12"/>
      <c r="BU121" s="15"/>
      <c r="CH121" s="30"/>
    </row>
    <row r="122" spans="2:86" ht="15">
      <c r="B122" s="37" t="s">
        <v>31</v>
      </c>
      <c r="C122" s="60">
        <v>9.30649939</v>
      </c>
      <c r="D122" s="39">
        <v>26.10214638</v>
      </c>
      <c r="E122" s="39">
        <v>29.389118019999998</v>
      </c>
      <c r="F122" s="39">
        <v>30.254132830000003</v>
      </c>
      <c r="G122" s="39">
        <v>27.00690841</v>
      </c>
      <c r="H122" s="39">
        <v>29.58597835</v>
      </c>
      <c r="I122" s="39">
        <v>31.652556420000003</v>
      </c>
      <c r="J122" s="39">
        <v>32.98634922</v>
      </c>
      <c r="K122" s="39">
        <v>54.66151189</v>
      </c>
      <c r="L122" s="39">
        <v>41.40239053</v>
      </c>
      <c r="M122" s="39">
        <v>34.10643213</v>
      </c>
      <c r="N122" s="39">
        <v>27.07375733</v>
      </c>
      <c r="O122" s="39">
        <v>27.525208890000002</v>
      </c>
      <c r="P122" s="39">
        <v>28.6235351</v>
      </c>
      <c r="Q122" s="39">
        <v>47.47705375</v>
      </c>
      <c r="R122" s="39">
        <v>42.24003485</v>
      </c>
      <c r="S122" s="39">
        <v>38.190402909999996</v>
      </c>
      <c r="T122" s="39">
        <v>17.55019073</v>
      </c>
      <c r="U122" s="39">
        <v>55.80541828</v>
      </c>
      <c r="V122" s="39">
        <v>50.16510873</v>
      </c>
      <c r="W122" s="59">
        <v>50.50157416</v>
      </c>
      <c r="X122" s="12"/>
      <c r="Y122" s="37" t="s">
        <v>31</v>
      </c>
      <c r="Z122" s="60">
        <v>106.43836461999999</v>
      </c>
      <c r="AA122" s="39">
        <v>102.56864745</v>
      </c>
      <c r="AB122" s="39">
        <v>51.29320363</v>
      </c>
      <c r="AC122" s="39">
        <v>63.768554810000005</v>
      </c>
      <c r="AD122" s="39">
        <v>50.06522157</v>
      </c>
      <c r="AE122" s="39">
        <v>57.34271622999999</v>
      </c>
      <c r="AF122" s="39">
        <v>52.9211481</v>
      </c>
      <c r="AG122" s="39">
        <v>45.59454344</v>
      </c>
      <c r="AH122" s="39">
        <v>61.897219840000005</v>
      </c>
      <c r="AI122" s="39">
        <v>56.409904700000006</v>
      </c>
      <c r="AJ122" s="39">
        <v>88.77217719</v>
      </c>
      <c r="AK122" s="39">
        <v>39.334876789999996</v>
      </c>
      <c r="AL122" s="39">
        <v>54.02084409</v>
      </c>
      <c r="AM122" s="39">
        <v>58.17073602000001</v>
      </c>
      <c r="AN122" s="39">
        <v>65.98494466000001</v>
      </c>
      <c r="AO122" s="39">
        <v>84.26143893</v>
      </c>
      <c r="AP122" s="39">
        <v>69.42027344</v>
      </c>
      <c r="AQ122" s="39">
        <v>38.41607872</v>
      </c>
      <c r="AR122" s="39">
        <v>70.86172891</v>
      </c>
      <c r="AS122" s="39">
        <v>78.74804455</v>
      </c>
      <c r="AT122" s="59">
        <v>84.22967136000001</v>
      </c>
      <c r="AU122" s="12"/>
      <c r="BH122" s="12"/>
      <c r="BU122" s="15"/>
      <c r="CH122" s="30"/>
    </row>
    <row r="123" spans="2:86" ht="15">
      <c r="B123" s="37" t="s">
        <v>32</v>
      </c>
      <c r="C123" s="60">
        <v>17.300079850000003</v>
      </c>
      <c r="D123" s="39">
        <v>22.76736296</v>
      </c>
      <c r="E123" s="39">
        <v>21.95592581</v>
      </c>
      <c r="F123" s="39">
        <v>32.12235917</v>
      </c>
      <c r="G123" s="39">
        <v>24.80013795</v>
      </c>
      <c r="H123" s="39">
        <v>26.11224401</v>
      </c>
      <c r="I123" s="39">
        <v>31.97110409</v>
      </c>
      <c r="J123" s="39">
        <v>45.55541043</v>
      </c>
      <c r="K123" s="39">
        <v>61.832994979999995</v>
      </c>
      <c r="L123" s="39">
        <v>98.071387</v>
      </c>
      <c r="M123" s="39">
        <v>27.853656899999997</v>
      </c>
      <c r="N123" s="39">
        <v>28.13923943</v>
      </c>
      <c r="O123" s="39">
        <v>28.08549396</v>
      </c>
      <c r="P123" s="39">
        <v>29.37663342</v>
      </c>
      <c r="Q123" s="39">
        <v>87.55038809999999</v>
      </c>
      <c r="R123" s="39">
        <v>42.65847429</v>
      </c>
      <c r="S123" s="39">
        <v>35.1099089</v>
      </c>
      <c r="T123" s="39">
        <v>37.97778967</v>
      </c>
      <c r="U123" s="39">
        <v>43.73434871</v>
      </c>
      <c r="V123" s="39">
        <v>52.05386239</v>
      </c>
      <c r="W123" s="59">
        <v>51.474503850000005</v>
      </c>
      <c r="X123" s="12"/>
      <c r="Y123" s="37" t="s">
        <v>32</v>
      </c>
      <c r="Z123" s="60">
        <v>18.764270259999996</v>
      </c>
      <c r="AA123" s="39">
        <v>80.39254376000001</v>
      </c>
      <c r="AB123" s="39">
        <v>31.636009419999997</v>
      </c>
      <c r="AC123" s="39">
        <v>40.491036730000005</v>
      </c>
      <c r="AD123" s="39">
        <v>44.751887530000005</v>
      </c>
      <c r="AE123" s="39">
        <v>47.69651127000001</v>
      </c>
      <c r="AF123" s="39">
        <v>62.303454810000005</v>
      </c>
      <c r="AG123" s="39">
        <v>53.77656287</v>
      </c>
      <c r="AH123" s="39">
        <v>79.75291115</v>
      </c>
      <c r="AI123" s="39">
        <v>66.0330412</v>
      </c>
      <c r="AJ123" s="39">
        <v>85.60763803</v>
      </c>
      <c r="AK123" s="39">
        <v>63.52076037</v>
      </c>
      <c r="AL123" s="39">
        <v>84.66604069</v>
      </c>
      <c r="AM123" s="39">
        <v>97.29177223</v>
      </c>
      <c r="AN123" s="39">
        <v>109.28624297</v>
      </c>
      <c r="AO123" s="39">
        <v>108.91472589000001</v>
      </c>
      <c r="AP123" s="39">
        <v>105.91088631999999</v>
      </c>
      <c r="AQ123" s="39">
        <v>81.8354768</v>
      </c>
      <c r="AR123" s="39">
        <v>105.39277369</v>
      </c>
      <c r="AS123" s="39">
        <v>124.73289002</v>
      </c>
      <c r="AT123" s="59">
        <v>125.71098269999999</v>
      </c>
      <c r="AU123" s="12"/>
      <c r="BH123" s="12"/>
      <c r="BU123" s="15"/>
      <c r="CH123" s="30"/>
    </row>
    <row r="124" spans="2:86" ht="15">
      <c r="B124" s="37" t="s">
        <v>33</v>
      </c>
      <c r="C124" s="60">
        <v>12.664472369999999</v>
      </c>
      <c r="D124" s="39">
        <v>25.29516724</v>
      </c>
      <c r="E124" s="39">
        <v>34.525239649999996</v>
      </c>
      <c r="F124" s="39">
        <v>47.92945348000001</v>
      </c>
      <c r="G124" s="39">
        <v>31.64635589</v>
      </c>
      <c r="H124" s="39">
        <v>34.88864782</v>
      </c>
      <c r="I124" s="39">
        <v>39.81078083</v>
      </c>
      <c r="J124" s="39">
        <v>47.98852457</v>
      </c>
      <c r="K124" s="39">
        <v>68.28185049</v>
      </c>
      <c r="L124" s="39">
        <v>47.288664409999996</v>
      </c>
      <c r="M124" s="39">
        <v>31.72687783</v>
      </c>
      <c r="N124" s="39">
        <v>34.21086191</v>
      </c>
      <c r="O124" s="39">
        <v>27.36867477</v>
      </c>
      <c r="P124" s="39">
        <v>28.52415655</v>
      </c>
      <c r="Q124" s="39">
        <v>39.90297557</v>
      </c>
      <c r="R124" s="39">
        <v>34.40946272</v>
      </c>
      <c r="S124" s="39">
        <v>41.15919584</v>
      </c>
      <c r="T124" s="39">
        <v>30.43277406</v>
      </c>
      <c r="U124" s="39">
        <v>38.557581</v>
      </c>
      <c r="V124" s="39">
        <v>45.89061393</v>
      </c>
      <c r="W124" s="59">
        <v>50.39884154</v>
      </c>
      <c r="X124" s="12"/>
      <c r="Y124" s="37" t="s">
        <v>33</v>
      </c>
      <c r="Z124" s="60">
        <v>12.23280826</v>
      </c>
      <c r="AA124" s="39">
        <v>16.05963861</v>
      </c>
      <c r="AB124" s="39">
        <v>59.52910558999999</v>
      </c>
      <c r="AC124" s="39">
        <v>94.61869572999998</v>
      </c>
      <c r="AD124" s="39">
        <v>104.46589102000002</v>
      </c>
      <c r="AE124" s="39">
        <v>128.84178171000002</v>
      </c>
      <c r="AF124" s="39">
        <v>156.99268006</v>
      </c>
      <c r="AG124" s="39">
        <v>196.47288255</v>
      </c>
      <c r="AH124" s="39">
        <v>154.92989963</v>
      </c>
      <c r="AI124" s="39">
        <v>212.09952615</v>
      </c>
      <c r="AJ124" s="39">
        <v>344.12413472000003</v>
      </c>
      <c r="AK124" s="39">
        <v>262.42911812</v>
      </c>
      <c r="AL124" s="39">
        <v>327.67532195</v>
      </c>
      <c r="AM124" s="39">
        <v>334.65812722</v>
      </c>
      <c r="AN124" s="39">
        <v>370.59293447</v>
      </c>
      <c r="AO124" s="39">
        <v>411.64117361</v>
      </c>
      <c r="AP124" s="39">
        <v>426.22825798</v>
      </c>
      <c r="AQ124" s="39">
        <v>135.66074719000002</v>
      </c>
      <c r="AR124" s="39">
        <v>392.44770682</v>
      </c>
      <c r="AS124" s="39">
        <v>436.96511777</v>
      </c>
      <c r="AT124" s="59">
        <v>481.8768063</v>
      </c>
      <c r="AU124" s="12"/>
      <c r="BH124" s="12"/>
      <c r="BU124" s="15"/>
      <c r="CH124" s="30"/>
    </row>
    <row r="125" spans="2:86" ht="15">
      <c r="B125" s="37" t="s">
        <v>34</v>
      </c>
      <c r="C125" s="60">
        <v>14.88262016</v>
      </c>
      <c r="D125" s="39">
        <v>28.91538657</v>
      </c>
      <c r="E125" s="39">
        <v>25.81952341</v>
      </c>
      <c r="F125" s="39">
        <v>30.09035484</v>
      </c>
      <c r="G125" s="39">
        <v>28.10858715</v>
      </c>
      <c r="H125" s="39">
        <v>29.02822464</v>
      </c>
      <c r="I125" s="39">
        <v>34.186716600000004</v>
      </c>
      <c r="J125" s="39">
        <v>65.44319546999999</v>
      </c>
      <c r="K125" s="39">
        <v>35.505413299999994</v>
      </c>
      <c r="L125" s="39">
        <v>61.713511159999996</v>
      </c>
      <c r="M125" s="39">
        <v>29.97651032</v>
      </c>
      <c r="N125" s="39">
        <v>31.790514429999998</v>
      </c>
      <c r="O125" s="39">
        <v>30.485353579999998</v>
      </c>
      <c r="P125" s="39">
        <v>31.49064025</v>
      </c>
      <c r="Q125" s="39">
        <v>64.1548524</v>
      </c>
      <c r="R125" s="39">
        <v>35.08611127</v>
      </c>
      <c r="S125" s="39">
        <v>37.61327153</v>
      </c>
      <c r="T125" s="39">
        <v>32.71800523</v>
      </c>
      <c r="U125" s="39">
        <v>52.531025719999995</v>
      </c>
      <c r="V125" s="39">
        <v>53.25940565</v>
      </c>
      <c r="W125" s="59">
        <v>47.24820536</v>
      </c>
      <c r="X125" s="12"/>
      <c r="Y125" s="37" t="s">
        <v>34</v>
      </c>
      <c r="Z125" s="60">
        <v>5.696733310000001</v>
      </c>
      <c r="AA125" s="39">
        <v>7.40608288</v>
      </c>
      <c r="AB125" s="39">
        <v>12.402737219999999</v>
      </c>
      <c r="AC125" s="39">
        <v>19.653555790000002</v>
      </c>
      <c r="AD125" s="39">
        <v>20.53537867</v>
      </c>
      <c r="AE125" s="39">
        <v>22.627412619999998</v>
      </c>
      <c r="AF125" s="39">
        <v>21.61669947</v>
      </c>
      <c r="AG125" s="39">
        <v>30.653422999999997</v>
      </c>
      <c r="AH125" s="39">
        <v>39.65417379</v>
      </c>
      <c r="AI125" s="39">
        <v>22.43339765</v>
      </c>
      <c r="AJ125" s="39">
        <v>31.468305570000005</v>
      </c>
      <c r="AK125" s="39">
        <v>29.796325950000004</v>
      </c>
      <c r="AL125" s="39">
        <v>32.455541769999996</v>
      </c>
      <c r="AM125" s="39">
        <v>40.69866323</v>
      </c>
      <c r="AN125" s="39">
        <v>43.96336548</v>
      </c>
      <c r="AO125" s="39">
        <v>38.20689908000001</v>
      </c>
      <c r="AP125" s="39">
        <v>41.598771299999996</v>
      </c>
      <c r="AQ125" s="39">
        <v>98.96064652000001</v>
      </c>
      <c r="AR125" s="39">
        <v>63.040607849999994</v>
      </c>
      <c r="AS125" s="39">
        <v>64.89523231</v>
      </c>
      <c r="AT125" s="59">
        <v>79.00668885</v>
      </c>
      <c r="AU125" s="12"/>
      <c r="BH125" s="12"/>
      <c r="BU125" s="15"/>
      <c r="CH125" s="30"/>
    </row>
    <row r="126" spans="2:86" ht="15">
      <c r="B126" s="37" t="s">
        <v>35</v>
      </c>
      <c r="C126" s="60">
        <v>10.28996693</v>
      </c>
      <c r="D126" s="39">
        <v>25.7481822</v>
      </c>
      <c r="E126" s="39">
        <v>31.516422719999998</v>
      </c>
      <c r="F126" s="39">
        <v>33.25995113</v>
      </c>
      <c r="G126" s="39">
        <v>27.679032539999998</v>
      </c>
      <c r="H126" s="39">
        <v>31.361869</v>
      </c>
      <c r="I126" s="39">
        <v>28.74064027</v>
      </c>
      <c r="J126" s="39">
        <v>26.540134560000002</v>
      </c>
      <c r="K126" s="39">
        <v>62.695763549999995</v>
      </c>
      <c r="L126" s="39">
        <v>53.18121786</v>
      </c>
      <c r="M126" s="39">
        <v>27.154019350000002</v>
      </c>
      <c r="N126" s="39">
        <v>28.55674981</v>
      </c>
      <c r="O126" s="39">
        <v>24.27937802</v>
      </c>
      <c r="P126" s="39">
        <v>38.15113188</v>
      </c>
      <c r="Q126" s="39">
        <v>33.90721846</v>
      </c>
      <c r="R126" s="39">
        <v>46.77853422</v>
      </c>
      <c r="S126" s="39">
        <v>37.53178439</v>
      </c>
      <c r="T126" s="39">
        <v>34.49999609</v>
      </c>
      <c r="U126" s="39">
        <v>41.21652836</v>
      </c>
      <c r="V126" s="39">
        <v>43.16324327</v>
      </c>
      <c r="W126" s="59">
        <v>46.984343409999994</v>
      </c>
      <c r="X126" s="12"/>
      <c r="Y126" s="37" t="s">
        <v>35</v>
      </c>
      <c r="Z126" s="60">
        <v>4.7706146</v>
      </c>
      <c r="AA126" s="39">
        <v>5.372334529999999</v>
      </c>
      <c r="AB126" s="39">
        <v>5.996304009999999</v>
      </c>
      <c r="AC126" s="39">
        <v>6.01310537</v>
      </c>
      <c r="AD126" s="39">
        <v>6.7114132600000005</v>
      </c>
      <c r="AE126" s="39">
        <v>11.22167403</v>
      </c>
      <c r="AF126" s="39">
        <v>8.577547019999999</v>
      </c>
      <c r="AG126" s="39">
        <v>16.28754212</v>
      </c>
      <c r="AH126" s="39">
        <v>15.78521209</v>
      </c>
      <c r="AI126" s="39">
        <v>10.676148439999997</v>
      </c>
      <c r="AJ126" s="39">
        <v>15.893852800000001</v>
      </c>
      <c r="AK126" s="39">
        <v>16.03245336</v>
      </c>
      <c r="AL126" s="39">
        <v>16.39913822</v>
      </c>
      <c r="AM126" s="39">
        <v>18.979721870000002</v>
      </c>
      <c r="AN126" s="39">
        <v>18.66302425</v>
      </c>
      <c r="AO126" s="39">
        <v>15.53221737</v>
      </c>
      <c r="AP126" s="39">
        <v>17.8346444</v>
      </c>
      <c r="AQ126" s="39">
        <v>93.91428189</v>
      </c>
      <c r="AR126" s="39">
        <v>27.729656470000002</v>
      </c>
      <c r="AS126" s="39">
        <v>23.99836402</v>
      </c>
      <c r="AT126" s="59">
        <v>26.55759743</v>
      </c>
      <c r="AU126" s="12"/>
      <c r="BH126" s="12"/>
      <c r="BU126" s="15"/>
      <c r="CH126" s="30"/>
    </row>
    <row r="127" spans="2:86" ht="15">
      <c r="B127" s="37" t="s">
        <v>36</v>
      </c>
      <c r="C127" s="60">
        <v>20.820652810000002</v>
      </c>
      <c r="D127" s="39">
        <v>22.51165689</v>
      </c>
      <c r="E127" s="39">
        <v>18.93866968</v>
      </c>
      <c r="F127" s="39">
        <v>26.40659311</v>
      </c>
      <c r="G127" s="39">
        <v>26.79620079</v>
      </c>
      <c r="H127" s="39">
        <v>25.169777030000002</v>
      </c>
      <c r="I127" s="39">
        <v>59.53015142</v>
      </c>
      <c r="J127" s="39">
        <v>35.19401948</v>
      </c>
      <c r="K127" s="39">
        <v>41.431645880000005</v>
      </c>
      <c r="L127" s="39">
        <v>41.250459590000006</v>
      </c>
      <c r="M127" s="39">
        <v>28.72474438</v>
      </c>
      <c r="N127" s="39">
        <v>29.086652989999997</v>
      </c>
      <c r="O127" s="39">
        <v>25.29724689</v>
      </c>
      <c r="P127" s="39">
        <v>29.986338449999998</v>
      </c>
      <c r="Q127" s="39">
        <v>35.200651490000006</v>
      </c>
      <c r="R127" s="39">
        <v>40.76130762</v>
      </c>
      <c r="S127" s="39">
        <v>34.959475409999996</v>
      </c>
      <c r="T127" s="39">
        <v>43.735845700000006</v>
      </c>
      <c r="U127" s="39">
        <v>40.964999490000004</v>
      </c>
      <c r="V127" s="39">
        <v>44.69516693</v>
      </c>
      <c r="W127" s="59">
        <v>40.32614203999992</v>
      </c>
      <c r="X127" s="12"/>
      <c r="Y127" s="37" t="s">
        <v>36</v>
      </c>
      <c r="Z127" s="60">
        <v>3.6884238899999997</v>
      </c>
      <c r="AA127" s="39">
        <v>4.64113436</v>
      </c>
      <c r="AB127" s="39">
        <v>4.08199311</v>
      </c>
      <c r="AC127" s="39">
        <v>4.4801771299999995</v>
      </c>
      <c r="AD127" s="39">
        <v>6.305069500000001</v>
      </c>
      <c r="AE127" s="39">
        <v>6.8543572400000015</v>
      </c>
      <c r="AF127" s="39">
        <v>8.257434270000001</v>
      </c>
      <c r="AG127" s="39">
        <v>11.765231899999998</v>
      </c>
      <c r="AH127" s="39">
        <v>15.033409510000002</v>
      </c>
      <c r="AI127" s="39">
        <v>11.271625090000002</v>
      </c>
      <c r="AJ127" s="39">
        <v>14.227383940000001</v>
      </c>
      <c r="AK127" s="39">
        <v>12.45659626</v>
      </c>
      <c r="AL127" s="39">
        <v>14.407345330000002</v>
      </c>
      <c r="AM127" s="39">
        <v>15.047423310000001</v>
      </c>
      <c r="AN127" s="39">
        <v>14.33530811</v>
      </c>
      <c r="AO127" s="39">
        <v>14.391579229999998</v>
      </c>
      <c r="AP127" s="39">
        <v>14.80604077</v>
      </c>
      <c r="AQ127" s="39">
        <v>221.27861071999996</v>
      </c>
      <c r="AR127" s="39">
        <v>21.08227892</v>
      </c>
      <c r="AS127" s="39">
        <v>16.979173659999997</v>
      </c>
      <c r="AT127" s="59">
        <v>17.877457950000007</v>
      </c>
      <c r="AU127" s="12"/>
      <c r="BH127" s="12"/>
      <c r="BU127" s="15"/>
      <c r="CH127" s="30"/>
    </row>
    <row r="128" spans="2:86" ht="15">
      <c r="B128" s="37" t="s">
        <v>37</v>
      </c>
      <c r="C128" s="60">
        <v>15.42951444</v>
      </c>
      <c r="D128" s="39">
        <v>20.31580912</v>
      </c>
      <c r="E128" s="39">
        <v>21.308604300000002</v>
      </c>
      <c r="F128" s="39">
        <v>25.077717510000003</v>
      </c>
      <c r="G128" s="39">
        <v>42.488503259999995</v>
      </c>
      <c r="H128" s="39">
        <v>36.95297583</v>
      </c>
      <c r="I128" s="39">
        <v>23.802428210000002</v>
      </c>
      <c r="J128" s="39">
        <v>61.08296991</v>
      </c>
      <c r="K128" s="39">
        <v>33.42847637</v>
      </c>
      <c r="L128" s="39">
        <v>48.62097954</v>
      </c>
      <c r="M128" s="39">
        <v>27.60582978</v>
      </c>
      <c r="N128" s="39">
        <v>26.15136335</v>
      </c>
      <c r="O128" s="39">
        <v>29.895454179999998</v>
      </c>
      <c r="P128" s="39">
        <v>30.602476969999998</v>
      </c>
      <c r="Q128" s="39">
        <v>30.833750769999998</v>
      </c>
      <c r="R128" s="39">
        <v>35.78536582</v>
      </c>
      <c r="S128" s="39">
        <v>37.98765213</v>
      </c>
      <c r="T128" s="39">
        <v>39.8060054</v>
      </c>
      <c r="U128" s="39">
        <v>44.35749171</v>
      </c>
      <c r="V128" s="39">
        <v>47.91963418</v>
      </c>
      <c r="W128" s="59"/>
      <c r="X128" s="12"/>
      <c r="Y128" s="37" t="s">
        <v>37</v>
      </c>
      <c r="Z128" s="60">
        <v>3.3741002700000005</v>
      </c>
      <c r="AA128" s="39">
        <v>4.30804993</v>
      </c>
      <c r="AB128" s="39">
        <v>4.069821169999999</v>
      </c>
      <c r="AC128" s="39">
        <v>4.02294939</v>
      </c>
      <c r="AD128" s="39">
        <v>5.04329794</v>
      </c>
      <c r="AE128" s="39">
        <v>4.935275390000001</v>
      </c>
      <c r="AF128" s="39">
        <v>7.02215175</v>
      </c>
      <c r="AG128" s="39">
        <v>7.444469850000001</v>
      </c>
      <c r="AH128" s="39">
        <v>11.52390718</v>
      </c>
      <c r="AI128" s="39">
        <v>10.66427949</v>
      </c>
      <c r="AJ128" s="61">
        <v>12.53890369</v>
      </c>
      <c r="AK128" s="61">
        <v>11.310305399999999</v>
      </c>
      <c r="AL128" s="61">
        <v>12.56272162</v>
      </c>
      <c r="AM128" s="39">
        <v>13.345693179999998</v>
      </c>
      <c r="AN128" s="39">
        <v>12.64760018</v>
      </c>
      <c r="AO128" s="39">
        <v>12.54343519</v>
      </c>
      <c r="AP128" s="39">
        <v>12.905584560000001</v>
      </c>
      <c r="AQ128" s="39">
        <v>32.80313194</v>
      </c>
      <c r="AR128" s="39">
        <v>18.59269401</v>
      </c>
      <c r="AS128" s="39">
        <v>15.118522519999999</v>
      </c>
      <c r="AT128" s="59"/>
      <c r="AU128" s="12"/>
      <c r="BH128" s="12"/>
      <c r="BU128" s="15"/>
      <c r="CH128" s="30"/>
    </row>
    <row r="129" spans="2:86" ht="15.75" thickBot="1">
      <c r="B129" s="37" t="s">
        <v>38</v>
      </c>
      <c r="C129" s="60">
        <v>19.7449692</v>
      </c>
      <c r="D129" s="39">
        <v>20.613120600000002</v>
      </c>
      <c r="E129" s="39">
        <v>20.335682010000003</v>
      </c>
      <c r="F129" s="39">
        <v>36.032693869999996</v>
      </c>
      <c r="G129" s="39">
        <v>27.36460102</v>
      </c>
      <c r="H129" s="39">
        <v>32.69910101</v>
      </c>
      <c r="I129" s="39">
        <v>60.06248737000001</v>
      </c>
      <c r="J129" s="39">
        <v>53.581488230000005</v>
      </c>
      <c r="K129" s="39">
        <v>57.663143</v>
      </c>
      <c r="L129" s="39">
        <v>137.62433188999998</v>
      </c>
      <c r="M129" s="39">
        <v>21.68206954</v>
      </c>
      <c r="N129" s="39">
        <v>30.07869624</v>
      </c>
      <c r="O129" s="39">
        <v>27.74178918</v>
      </c>
      <c r="P129" s="39">
        <v>35.42890638</v>
      </c>
      <c r="Q129" s="39">
        <v>41.51749528</v>
      </c>
      <c r="R129" s="39">
        <v>34.344581729999994</v>
      </c>
      <c r="S129" s="39">
        <v>41.71397471</v>
      </c>
      <c r="T129" s="39">
        <v>39.4296983</v>
      </c>
      <c r="U129" s="39">
        <v>52.38664955</v>
      </c>
      <c r="V129" s="39">
        <v>57.063903939999996</v>
      </c>
      <c r="W129" s="59"/>
      <c r="X129" s="12"/>
      <c r="Y129" s="37" t="s">
        <v>38</v>
      </c>
      <c r="Z129" s="60">
        <v>3.20123905</v>
      </c>
      <c r="AA129" s="39">
        <v>3.74511627</v>
      </c>
      <c r="AB129" s="39">
        <v>3.3395754699999998</v>
      </c>
      <c r="AC129" s="39">
        <v>2.90972332</v>
      </c>
      <c r="AD129" s="39">
        <v>3.6787479700000003</v>
      </c>
      <c r="AE129" s="39">
        <v>4.48870235</v>
      </c>
      <c r="AF129" s="39">
        <v>5.754914760000001</v>
      </c>
      <c r="AG129" s="39">
        <v>8.56466468</v>
      </c>
      <c r="AH129" s="39">
        <v>11.56169512</v>
      </c>
      <c r="AI129" s="39">
        <v>13.09620369</v>
      </c>
      <c r="AJ129" s="39">
        <v>12.60968809</v>
      </c>
      <c r="AK129" s="39">
        <v>11.55922246</v>
      </c>
      <c r="AL129" s="39">
        <v>13.44566723</v>
      </c>
      <c r="AM129" s="39">
        <v>16.90740033</v>
      </c>
      <c r="AN129" s="39">
        <v>12.84658905</v>
      </c>
      <c r="AO129" s="39">
        <v>12.12833678</v>
      </c>
      <c r="AP129" s="39">
        <v>12.33328703</v>
      </c>
      <c r="AQ129" s="39">
        <v>20.868796460000002</v>
      </c>
      <c r="AR129" s="39">
        <v>15.302354130000001</v>
      </c>
      <c r="AS129" s="39">
        <v>13.3030168</v>
      </c>
      <c r="AT129" s="59"/>
      <c r="AU129" s="12"/>
      <c r="BH129" s="12"/>
      <c r="BU129" s="15"/>
      <c r="CH129" s="30"/>
    </row>
    <row r="130" spans="2:86" ht="15.75" thickBot="1">
      <c r="B130" s="35" t="s">
        <v>3</v>
      </c>
      <c r="C130" s="43">
        <f>SUM(C118:C129)</f>
        <v>176.79392291</v>
      </c>
      <c r="D130" s="36">
        <f>SUM(D118:D129)</f>
        <v>288.36992714</v>
      </c>
      <c r="E130" s="36">
        <f aca="true" t="shared" si="10" ref="E130:R130">SUM(E118:E129)</f>
        <v>313.25683497000006</v>
      </c>
      <c r="F130" s="36">
        <f t="shared" si="10"/>
        <v>391.70808962000007</v>
      </c>
      <c r="G130" s="36">
        <f t="shared" si="10"/>
        <v>391.91541646999997</v>
      </c>
      <c r="H130" s="36">
        <f t="shared" si="10"/>
        <v>376.46667331</v>
      </c>
      <c r="I130" s="36">
        <f t="shared" si="10"/>
        <v>594.7885133</v>
      </c>
      <c r="J130" s="36">
        <f t="shared" si="10"/>
        <v>571.63297015</v>
      </c>
      <c r="K130" s="36">
        <f t="shared" si="10"/>
        <v>637.6561443999999</v>
      </c>
      <c r="L130" s="36">
        <f t="shared" si="10"/>
        <v>877.3055392399999</v>
      </c>
      <c r="M130" s="36">
        <f t="shared" si="10"/>
        <v>429.56144456999994</v>
      </c>
      <c r="N130" s="36">
        <f t="shared" si="10"/>
        <v>358.69038329</v>
      </c>
      <c r="O130" s="36">
        <f t="shared" si="10"/>
        <v>336.48469146</v>
      </c>
      <c r="P130" s="36">
        <f t="shared" si="10"/>
        <v>370.07471021</v>
      </c>
      <c r="Q130" s="36">
        <f t="shared" si="10"/>
        <v>507.94583918999996</v>
      </c>
      <c r="R130" s="36">
        <f t="shared" si="10"/>
        <v>462.96000329000003</v>
      </c>
      <c r="S130" s="36">
        <v>451.46607991999997</v>
      </c>
      <c r="T130" s="36">
        <f>SUM(T118:T129)</f>
        <v>391.61217263000003</v>
      </c>
      <c r="U130" s="36">
        <v>542.0486486699999</v>
      </c>
      <c r="V130" s="36">
        <f>SUM(V118:V129)</f>
        <v>586.4924074400001</v>
      </c>
      <c r="W130" s="58">
        <f>SUM(W118:W129)</f>
        <v>480.51103289999986</v>
      </c>
      <c r="X130" s="12"/>
      <c r="Y130" s="35" t="s">
        <v>3</v>
      </c>
      <c r="Z130" s="43">
        <f>SUM(Z118:Z129)</f>
        <v>256.97949885</v>
      </c>
      <c r="AA130" s="36">
        <f>SUM(AA118:AA129)</f>
        <v>268.28416076</v>
      </c>
      <c r="AB130" s="36">
        <f aca="true" t="shared" si="11" ref="AB130:AO130">SUM(AB118:AB129)</f>
        <v>319.12114621999996</v>
      </c>
      <c r="AC130" s="36">
        <f t="shared" si="11"/>
        <v>327.31420223</v>
      </c>
      <c r="AD130" s="36">
        <f t="shared" si="11"/>
        <v>353.13535662</v>
      </c>
      <c r="AE130" s="36">
        <f t="shared" si="11"/>
        <v>401.6110530899999</v>
      </c>
      <c r="AF130" s="36">
        <f t="shared" si="11"/>
        <v>467.51842997</v>
      </c>
      <c r="AG130" s="36">
        <f t="shared" si="11"/>
        <v>505.12468391000004</v>
      </c>
      <c r="AH130" s="36">
        <f t="shared" si="11"/>
        <v>558.26211332</v>
      </c>
      <c r="AI130" s="36">
        <f t="shared" si="11"/>
        <v>573.1281881400001</v>
      </c>
      <c r="AJ130" s="36">
        <f t="shared" si="11"/>
        <v>835.7937664</v>
      </c>
      <c r="AK130" s="36">
        <f t="shared" si="11"/>
        <v>572.4281108799998</v>
      </c>
      <c r="AL130" s="36">
        <f t="shared" si="11"/>
        <v>717.1340817300002</v>
      </c>
      <c r="AM130" s="36">
        <f t="shared" si="11"/>
        <v>782.38966077</v>
      </c>
      <c r="AN130" s="36">
        <f t="shared" si="11"/>
        <v>825.9586831000001</v>
      </c>
      <c r="AO130" s="36">
        <f t="shared" si="11"/>
        <v>881.16035322</v>
      </c>
      <c r="AP130" s="36">
        <v>909.3273166199998</v>
      </c>
      <c r="AQ130" s="36">
        <f>SUM(AQ118:AQ129)</f>
        <v>903.0277431799999</v>
      </c>
      <c r="AR130" s="36">
        <v>1011.08208585</v>
      </c>
      <c r="AS130" s="36">
        <f>SUM(AS118:AS129)</f>
        <v>1070.74926879</v>
      </c>
      <c r="AT130" s="58">
        <f>SUM(AT118:AT129)</f>
        <v>1125.47947041</v>
      </c>
      <c r="AU130" s="12"/>
      <c r="BH130" s="12"/>
      <c r="BU130" s="15"/>
      <c r="CH130" s="30"/>
    </row>
    <row r="131" spans="2:85" ht="15">
      <c r="B131" s="4" t="s">
        <v>4</v>
      </c>
      <c r="C131" s="4"/>
      <c r="D131" s="4"/>
      <c r="E131" s="4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12"/>
      <c r="Q131" s="12"/>
      <c r="R131" s="12"/>
      <c r="S131" s="12"/>
      <c r="T131" s="12"/>
      <c r="U131" s="12"/>
      <c r="V131" s="12"/>
      <c r="W131" s="12"/>
      <c r="X131" s="4"/>
      <c r="Y131" s="4" t="s">
        <v>4</v>
      </c>
      <c r="Z131" s="4"/>
      <c r="AA131" s="4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12"/>
      <c r="AN131" s="12"/>
      <c r="AO131" s="12"/>
      <c r="AP131" s="12"/>
      <c r="AQ131" s="12"/>
      <c r="AR131" s="12"/>
      <c r="AS131" s="12"/>
      <c r="AT131" s="12"/>
      <c r="BG131" s="12"/>
      <c r="BT131" s="15"/>
      <c r="CG131" s="30"/>
    </row>
    <row r="132" spans="2:85" ht="15">
      <c r="B132" s="73" t="s">
        <v>5</v>
      </c>
      <c r="C132" s="73"/>
      <c r="D132" s="73"/>
      <c r="E132" s="73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12"/>
      <c r="Q132" s="12"/>
      <c r="R132" s="12"/>
      <c r="S132" s="12"/>
      <c r="T132" s="12"/>
      <c r="U132" s="12"/>
      <c r="V132" s="12"/>
      <c r="W132" s="12"/>
      <c r="X132" s="50"/>
      <c r="Y132" s="50" t="s">
        <v>5</v>
      </c>
      <c r="Z132" s="50"/>
      <c r="AA132" s="50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12"/>
      <c r="AN132" s="12"/>
      <c r="AO132" s="12"/>
      <c r="AP132" s="12"/>
      <c r="AQ132" s="12"/>
      <c r="AR132" s="12"/>
      <c r="AS132" s="12"/>
      <c r="AT132" s="12"/>
      <c r="BG132" s="12"/>
      <c r="BT132" s="15"/>
      <c r="CG132" s="30"/>
    </row>
    <row r="133" spans="16:85" ht="6.75" customHeight="1">
      <c r="P133" s="12"/>
      <c r="Q133" s="12"/>
      <c r="R133" s="12"/>
      <c r="S133" s="12"/>
      <c r="T133" s="12"/>
      <c r="U133" s="12"/>
      <c r="V133" s="12"/>
      <c r="W133" s="12"/>
      <c r="AM133" s="12"/>
      <c r="AN133" s="12"/>
      <c r="AO133" s="12"/>
      <c r="AP133" s="12"/>
      <c r="AQ133" s="12"/>
      <c r="AR133" s="12"/>
      <c r="AS133" s="12"/>
      <c r="AT133" s="12"/>
      <c r="BG133" s="12"/>
      <c r="BT133" s="17"/>
      <c r="CG133" s="30"/>
    </row>
    <row r="134" spans="2:85" ht="26.25" customHeight="1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AM134" s="12"/>
      <c r="AN134" s="12"/>
      <c r="AO134" s="12"/>
      <c r="AP134" s="12"/>
      <c r="AQ134" s="12"/>
      <c r="AR134" s="12"/>
      <c r="AS134" s="12"/>
      <c r="AT134" s="12"/>
      <c r="BG134" s="12"/>
      <c r="BT134" s="17"/>
      <c r="CG134" s="30"/>
    </row>
    <row r="135" spans="16:85" ht="15">
      <c r="P135" s="12"/>
      <c r="Q135" s="12"/>
      <c r="R135" s="12"/>
      <c r="S135" s="12"/>
      <c r="T135" s="12"/>
      <c r="U135" s="12"/>
      <c r="V135" s="12"/>
      <c r="W135" s="12"/>
      <c r="AM135" s="12"/>
      <c r="AN135" s="12"/>
      <c r="AO135" s="12"/>
      <c r="AP135" s="12"/>
      <c r="AQ135" s="12"/>
      <c r="AR135" s="12"/>
      <c r="AS135" s="12"/>
      <c r="AT135" s="12"/>
      <c r="BG135" s="12"/>
      <c r="BT135" s="17"/>
      <c r="CG135" s="30"/>
    </row>
    <row r="136" spans="2:85" ht="15.75" customHeight="1">
      <c r="B136" s="75" t="s">
        <v>20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49"/>
      <c r="Y136" s="75" t="s">
        <v>14</v>
      </c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BG136" s="12"/>
      <c r="BT136" s="5"/>
      <c r="CG136" s="30"/>
    </row>
    <row r="137" spans="2:85" ht="15">
      <c r="B137" s="72" t="s">
        <v>39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Y137" s="72" t="s">
        <v>39</v>
      </c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BG137" s="8"/>
      <c r="BT137" s="6"/>
      <c r="CG137" s="23"/>
    </row>
    <row r="138" spans="2:85" ht="15.75" thickBot="1">
      <c r="B138" s="71" t="s">
        <v>1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Y138" s="71" t="s">
        <v>1</v>
      </c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8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23"/>
    </row>
    <row r="139" spans="2:86" ht="33" customHeight="1" thickBot="1">
      <c r="B139" s="33" t="s">
        <v>2</v>
      </c>
      <c r="C139" s="41">
        <v>2003</v>
      </c>
      <c r="D139" s="34">
        <v>2004</v>
      </c>
      <c r="E139" s="34">
        <v>2005</v>
      </c>
      <c r="F139" s="34">
        <v>2006</v>
      </c>
      <c r="G139" s="34">
        <v>2007</v>
      </c>
      <c r="H139" s="34">
        <v>2008</v>
      </c>
      <c r="I139" s="34">
        <v>2009</v>
      </c>
      <c r="J139" s="34">
        <v>2010</v>
      </c>
      <c r="K139" s="34">
        <v>2011</v>
      </c>
      <c r="L139" s="34">
        <v>2012</v>
      </c>
      <c r="M139" s="34">
        <v>2013</v>
      </c>
      <c r="N139" s="34">
        <v>2014</v>
      </c>
      <c r="O139" s="34">
        <v>2015</v>
      </c>
      <c r="P139" s="34">
        <v>2016</v>
      </c>
      <c r="Q139" s="34">
        <v>2017</v>
      </c>
      <c r="R139" s="34">
        <v>2018</v>
      </c>
      <c r="S139" s="34">
        <v>2019</v>
      </c>
      <c r="T139" s="34">
        <v>2020</v>
      </c>
      <c r="U139" s="34">
        <v>2021</v>
      </c>
      <c r="V139" s="34">
        <v>2022</v>
      </c>
      <c r="W139" s="55">
        <v>2023</v>
      </c>
      <c r="X139" s="51"/>
      <c r="Y139" s="33" t="s">
        <v>2</v>
      </c>
      <c r="Z139" s="41">
        <v>2003</v>
      </c>
      <c r="AA139" s="34">
        <v>2004</v>
      </c>
      <c r="AB139" s="34">
        <v>2005</v>
      </c>
      <c r="AC139" s="34">
        <v>2006</v>
      </c>
      <c r="AD139" s="34">
        <v>2007</v>
      </c>
      <c r="AE139" s="34">
        <v>2008</v>
      </c>
      <c r="AF139" s="34">
        <v>2009</v>
      </c>
      <c r="AG139" s="34">
        <v>2010</v>
      </c>
      <c r="AH139" s="34">
        <v>2011</v>
      </c>
      <c r="AI139" s="34">
        <v>2012</v>
      </c>
      <c r="AJ139" s="34">
        <v>2013</v>
      </c>
      <c r="AK139" s="34">
        <v>2014</v>
      </c>
      <c r="AL139" s="34">
        <v>2015</v>
      </c>
      <c r="AM139" s="34">
        <v>2016</v>
      </c>
      <c r="AN139" s="34">
        <v>2017</v>
      </c>
      <c r="AO139" s="34">
        <v>2018</v>
      </c>
      <c r="AP139" s="34">
        <v>2019</v>
      </c>
      <c r="AQ139" s="34">
        <v>2020</v>
      </c>
      <c r="AR139" s="34">
        <v>2021</v>
      </c>
      <c r="AS139" s="34">
        <v>2022</v>
      </c>
      <c r="AT139" s="55">
        <v>2023</v>
      </c>
      <c r="AU139" s="8"/>
      <c r="BH139" s="8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23"/>
    </row>
    <row r="140" spans="2:86" ht="4.5" customHeight="1"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56"/>
      <c r="X140" s="8"/>
      <c r="Y140" s="46"/>
      <c r="Z140" s="47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56"/>
      <c r="AU140" s="8"/>
      <c r="BH140" s="8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23"/>
    </row>
    <row r="141" spans="2:86" ht="15.75">
      <c r="B141" s="37" t="s">
        <v>27</v>
      </c>
      <c r="C141" s="60">
        <v>0</v>
      </c>
      <c r="D141" s="39">
        <v>0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51.39174417</v>
      </c>
      <c r="N141" s="39">
        <v>56.69474349</v>
      </c>
      <c r="O141" s="39">
        <v>72.31763512</v>
      </c>
      <c r="P141" s="39">
        <v>71.4155301</v>
      </c>
      <c r="Q141" s="39">
        <v>68.79602156</v>
      </c>
      <c r="R141" s="39">
        <v>72.61886986</v>
      </c>
      <c r="S141" s="39">
        <v>79.11474077</v>
      </c>
      <c r="T141" s="39">
        <v>88.24999901999999</v>
      </c>
      <c r="U141" s="39">
        <v>96.78284112</v>
      </c>
      <c r="V141" s="39">
        <v>105.10485117</v>
      </c>
      <c r="W141" s="59">
        <v>139.55273911</v>
      </c>
      <c r="X141" s="8"/>
      <c r="Y141" s="37" t="s">
        <v>27</v>
      </c>
      <c r="Z141" s="60">
        <v>47.239829279999995</v>
      </c>
      <c r="AA141" s="39">
        <v>16.03142812</v>
      </c>
      <c r="AB141" s="39">
        <v>39.78105221</v>
      </c>
      <c r="AC141" s="39">
        <v>41.188996020000005</v>
      </c>
      <c r="AD141" s="39">
        <v>42.314177439999995</v>
      </c>
      <c r="AE141" s="39">
        <v>46.77951455</v>
      </c>
      <c r="AF141" s="39">
        <v>46.607700439999995</v>
      </c>
      <c r="AG141" s="39">
        <v>50.45555168</v>
      </c>
      <c r="AH141" s="39">
        <v>52.70970718</v>
      </c>
      <c r="AI141" s="39">
        <v>56.59760255</v>
      </c>
      <c r="AJ141" s="39">
        <v>61.2578769</v>
      </c>
      <c r="AK141" s="39">
        <v>65.16394618</v>
      </c>
      <c r="AL141" s="39">
        <v>73.30131970999999</v>
      </c>
      <c r="AM141" s="39">
        <v>79.76069786</v>
      </c>
      <c r="AN141" s="39">
        <v>83.17981384999999</v>
      </c>
      <c r="AO141" s="39">
        <v>80.46307657999999</v>
      </c>
      <c r="AP141" s="39">
        <v>83.13114438</v>
      </c>
      <c r="AQ141" s="39">
        <v>92.57724745</v>
      </c>
      <c r="AR141" s="39">
        <v>100.78209002</v>
      </c>
      <c r="AS141" s="39">
        <v>111.04949189</v>
      </c>
      <c r="AT141" s="59">
        <v>113.64012455</v>
      </c>
      <c r="AU141" s="8"/>
      <c r="BH141" s="8"/>
      <c r="BU141" s="1"/>
      <c r="CH141" s="23"/>
    </row>
    <row r="142" spans="2:86" ht="15">
      <c r="B142" s="37" t="s">
        <v>28</v>
      </c>
      <c r="C142" s="60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46.64649666</v>
      </c>
      <c r="N142" s="39">
        <v>51.703452479999996</v>
      </c>
      <c r="O142" s="39">
        <v>67.38369528</v>
      </c>
      <c r="P142" s="39">
        <v>73.20512573</v>
      </c>
      <c r="Q142" s="39">
        <v>68.10960268000001</v>
      </c>
      <c r="R142" s="39">
        <v>70.45853393</v>
      </c>
      <c r="S142" s="39">
        <v>70.98884948999999</v>
      </c>
      <c r="T142" s="39">
        <v>79.60405215</v>
      </c>
      <c r="U142" s="39">
        <v>85.95780334999999</v>
      </c>
      <c r="V142" s="39">
        <v>91.16764401</v>
      </c>
      <c r="W142" s="59">
        <v>112.30092587</v>
      </c>
      <c r="X142" s="8"/>
      <c r="Y142" s="37" t="s">
        <v>28</v>
      </c>
      <c r="Z142" s="60">
        <v>22.262110540000005</v>
      </c>
      <c r="AA142" s="39">
        <v>13.562741820000001</v>
      </c>
      <c r="AB142" s="39">
        <v>20.0261408</v>
      </c>
      <c r="AC142" s="39">
        <v>23.07647542</v>
      </c>
      <c r="AD142" s="39">
        <v>28.665911519999998</v>
      </c>
      <c r="AE142" s="39">
        <v>29.99329754</v>
      </c>
      <c r="AF142" s="39">
        <v>27.7390018</v>
      </c>
      <c r="AG142" s="39">
        <v>31.55078462</v>
      </c>
      <c r="AH142" s="39">
        <v>35.15989511</v>
      </c>
      <c r="AI142" s="39">
        <v>37.55792957</v>
      </c>
      <c r="AJ142" s="39">
        <v>38.77921943</v>
      </c>
      <c r="AK142" s="39">
        <v>41.39011344</v>
      </c>
      <c r="AL142" s="39">
        <v>44.517895100000004</v>
      </c>
      <c r="AM142" s="39">
        <v>46.71365217</v>
      </c>
      <c r="AN142" s="39">
        <v>48.59788435</v>
      </c>
      <c r="AO142" s="39">
        <v>48.086990289999996</v>
      </c>
      <c r="AP142" s="39">
        <v>54.0643351</v>
      </c>
      <c r="AQ142" s="39">
        <v>59.22044441</v>
      </c>
      <c r="AR142" s="39">
        <v>68.99602889</v>
      </c>
      <c r="AS142" s="39">
        <v>75.21430178</v>
      </c>
      <c r="AT142" s="59">
        <v>81.94279587000001</v>
      </c>
      <c r="AU142" s="8"/>
      <c r="BH142" s="8"/>
      <c r="BU142" s="2"/>
      <c r="CH142" s="23"/>
    </row>
    <row r="143" spans="2:86" ht="15">
      <c r="B143" s="37" t="s">
        <v>29</v>
      </c>
      <c r="C143" s="60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47.90373354</v>
      </c>
      <c r="N143" s="39">
        <v>60.21896318</v>
      </c>
      <c r="O143" s="39">
        <v>75.52638497</v>
      </c>
      <c r="P143" s="39">
        <v>77.34328972</v>
      </c>
      <c r="Q143" s="39">
        <v>80.95757997</v>
      </c>
      <c r="R143" s="39">
        <v>75.39199265</v>
      </c>
      <c r="S143" s="39">
        <v>76.29954618000001</v>
      </c>
      <c r="T143" s="39">
        <v>58.30932224</v>
      </c>
      <c r="U143" s="39">
        <v>108.61264772</v>
      </c>
      <c r="V143" s="39">
        <v>114.81854039</v>
      </c>
      <c r="W143" s="59">
        <v>139.18787407</v>
      </c>
      <c r="X143" s="8"/>
      <c r="Y143" s="37" t="s">
        <v>29</v>
      </c>
      <c r="Z143" s="60">
        <v>28.365156489999993</v>
      </c>
      <c r="AA143" s="39">
        <v>13.93080334</v>
      </c>
      <c r="AB143" s="39">
        <v>26.21959338</v>
      </c>
      <c r="AC143" s="39">
        <v>29.830381539999998</v>
      </c>
      <c r="AD143" s="39">
        <v>30.439533179999998</v>
      </c>
      <c r="AE143" s="39">
        <v>34.93251593</v>
      </c>
      <c r="AF143" s="39">
        <v>27.73929286</v>
      </c>
      <c r="AG143" s="39">
        <v>32.95843504</v>
      </c>
      <c r="AH143" s="39">
        <v>37.16317815</v>
      </c>
      <c r="AI143" s="39">
        <v>39.68618118</v>
      </c>
      <c r="AJ143" s="39">
        <v>43.90276346</v>
      </c>
      <c r="AK143" s="39">
        <v>43.47529878</v>
      </c>
      <c r="AL143" s="39">
        <v>48.80597682</v>
      </c>
      <c r="AM143" s="39">
        <v>52.83838103</v>
      </c>
      <c r="AN143" s="39">
        <v>53.39289804</v>
      </c>
      <c r="AO143" s="39">
        <v>59.15594754</v>
      </c>
      <c r="AP143" s="39">
        <v>62.42059795</v>
      </c>
      <c r="AQ143" s="39">
        <v>68.48787918000001</v>
      </c>
      <c r="AR143" s="39">
        <v>78.66512959</v>
      </c>
      <c r="AS143" s="39">
        <v>81.25489233</v>
      </c>
      <c r="AT143" s="59">
        <v>86.02352177</v>
      </c>
      <c r="AU143" s="8"/>
      <c r="BH143" s="8"/>
      <c r="BU143" s="2"/>
      <c r="CH143" s="23"/>
    </row>
    <row r="144" spans="2:86" ht="15">
      <c r="B144" s="37" t="s">
        <v>30</v>
      </c>
      <c r="C144" s="60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53.65907842</v>
      </c>
      <c r="N144" s="39">
        <v>51.801046549999995</v>
      </c>
      <c r="O144" s="39">
        <v>64.78721795</v>
      </c>
      <c r="P144" s="39">
        <v>76.19596895999999</v>
      </c>
      <c r="Q144" s="39">
        <v>64.87002564</v>
      </c>
      <c r="R144" s="39">
        <v>69.44469446</v>
      </c>
      <c r="S144" s="39">
        <v>76.56717671999999</v>
      </c>
      <c r="T144" s="39">
        <v>33.1163426</v>
      </c>
      <c r="U144" s="39">
        <v>93.07898745</v>
      </c>
      <c r="V144" s="39">
        <v>103.6706144</v>
      </c>
      <c r="W144" s="59">
        <v>117.94566519</v>
      </c>
      <c r="X144" s="12"/>
      <c r="Y144" s="37" t="s">
        <v>30</v>
      </c>
      <c r="Z144" s="60">
        <v>38.55948195999999</v>
      </c>
      <c r="AA144" s="39">
        <v>16.92388305</v>
      </c>
      <c r="AB144" s="39">
        <v>39.05712412</v>
      </c>
      <c r="AC144" s="39">
        <v>36.58908402</v>
      </c>
      <c r="AD144" s="39">
        <v>43.175593140000004</v>
      </c>
      <c r="AE144" s="39">
        <v>40.98350293</v>
      </c>
      <c r="AF144" s="39">
        <v>39.74430195</v>
      </c>
      <c r="AG144" s="39">
        <v>51.27137917</v>
      </c>
      <c r="AH144" s="39">
        <v>48.75085289</v>
      </c>
      <c r="AI144" s="39">
        <v>56.96828827</v>
      </c>
      <c r="AJ144" s="39">
        <v>53.65310158</v>
      </c>
      <c r="AK144" s="39">
        <v>57.86611362</v>
      </c>
      <c r="AL144" s="39">
        <v>68.06257779</v>
      </c>
      <c r="AM144" s="39">
        <v>69.27054761</v>
      </c>
      <c r="AN144" s="39">
        <v>67.46873411</v>
      </c>
      <c r="AO144" s="39">
        <v>75.34157511</v>
      </c>
      <c r="AP144" s="39">
        <v>78.37509786</v>
      </c>
      <c r="AQ144" s="39">
        <v>67.65547532</v>
      </c>
      <c r="AR144" s="39">
        <v>104.87916695999999</v>
      </c>
      <c r="AS144" s="39">
        <v>104.66004629999999</v>
      </c>
      <c r="AT144" s="59">
        <v>121.19661526</v>
      </c>
      <c r="AU144" s="12"/>
      <c r="BH144" s="12"/>
      <c r="BU144" s="13"/>
      <c r="CH144" s="30"/>
    </row>
    <row r="145" spans="2:86" ht="15">
      <c r="B145" s="37" t="s">
        <v>31</v>
      </c>
      <c r="C145" s="60">
        <v>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63.0473491</v>
      </c>
      <c r="N145" s="39">
        <v>55.1560137</v>
      </c>
      <c r="O145" s="39">
        <v>73.52467888</v>
      </c>
      <c r="P145" s="39">
        <v>79.77644036</v>
      </c>
      <c r="Q145" s="39">
        <v>70.00885489</v>
      </c>
      <c r="R145" s="39">
        <v>78.75506274</v>
      </c>
      <c r="S145" s="39">
        <v>86.09573089</v>
      </c>
      <c r="T145" s="39">
        <v>44.00040563</v>
      </c>
      <c r="U145" s="39">
        <v>101.20999203</v>
      </c>
      <c r="V145" s="39">
        <v>106.04788371</v>
      </c>
      <c r="W145" s="59">
        <v>149.22285431</v>
      </c>
      <c r="X145" s="12"/>
      <c r="Y145" s="37" t="s">
        <v>31</v>
      </c>
      <c r="Z145" s="60">
        <v>43.08519586</v>
      </c>
      <c r="AA145" s="39">
        <v>14.9588205</v>
      </c>
      <c r="AB145" s="39">
        <v>31.09356401</v>
      </c>
      <c r="AC145" s="39">
        <v>34.488846689999995</v>
      </c>
      <c r="AD145" s="39">
        <v>31.22149771</v>
      </c>
      <c r="AE145" s="39">
        <v>34.2600505</v>
      </c>
      <c r="AF145" s="39">
        <v>37.79492232</v>
      </c>
      <c r="AG145" s="39">
        <v>34.991894200000004</v>
      </c>
      <c r="AH145" s="39">
        <v>49.11353421</v>
      </c>
      <c r="AI145" s="39">
        <v>41.13324944</v>
      </c>
      <c r="AJ145" s="39">
        <v>46.476635869999996</v>
      </c>
      <c r="AK145" s="39">
        <v>55.59336155</v>
      </c>
      <c r="AL145" s="39">
        <v>52.581707009999995</v>
      </c>
      <c r="AM145" s="39">
        <v>58.63770189</v>
      </c>
      <c r="AN145" s="39">
        <v>63.45214357</v>
      </c>
      <c r="AO145" s="39">
        <v>59.08951992</v>
      </c>
      <c r="AP145" s="39">
        <v>74.6684901</v>
      </c>
      <c r="AQ145" s="39">
        <v>62.943519450000004</v>
      </c>
      <c r="AR145" s="39">
        <v>80.28720093999999</v>
      </c>
      <c r="AS145" s="39">
        <v>97.37041921</v>
      </c>
      <c r="AT145" s="59">
        <v>95.84093503</v>
      </c>
      <c r="AU145" s="12"/>
      <c r="BH145" s="12"/>
      <c r="BU145" s="15"/>
      <c r="CH145" s="30"/>
    </row>
    <row r="146" spans="2:86" ht="15">
      <c r="B146" s="37" t="s">
        <v>32</v>
      </c>
      <c r="C146" s="60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50.55703791</v>
      </c>
      <c r="N146" s="39">
        <v>54.1067268</v>
      </c>
      <c r="O146" s="39">
        <v>71.43277581999999</v>
      </c>
      <c r="P146" s="39">
        <v>80.07136487999999</v>
      </c>
      <c r="Q146" s="39">
        <v>72.71152639</v>
      </c>
      <c r="R146" s="39">
        <v>71.26981131999999</v>
      </c>
      <c r="S146" s="39">
        <v>71.16053625</v>
      </c>
      <c r="T146" s="39">
        <v>47.89193407</v>
      </c>
      <c r="U146" s="39">
        <v>106.75494109</v>
      </c>
      <c r="V146" s="39">
        <v>127.30722209999999</v>
      </c>
      <c r="W146" s="59">
        <v>151.06062415</v>
      </c>
      <c r="X146" s="12"/>
      <c r="Y146" s="37" t="s">
        <v>32</v>
      </c>
      <c r="Z146" s="60">
        <v>15.96587979</v>
      </c>
      <c r="AA146" s="39">
        <v>13.90143205</v>
      </c>
      <c r="AB146" s="39">
        <v>30.178322870000002</v>
      </c>
      <c r="AC146" s="39">
        <v>34.80091378</v>
      </c>
      <c r="AD146" s="39">
        <v>37.97859134</v>
      </c>
      <c r="AE146" s="39">
        <v>38.04011681</v>
      </c>
      <c r="AF146" s="39">
        <v>33.775503060000005</v>
      </c>
      <c r="AG146" s="39">
        <v>39.63812196</v>
      </c>
      <c r="AH146" s="39">
        <v>41.09087189</v>
      </c>
      <c r="AI146" s="39">
        <v>44.434913159999994</v>
      </c>
      <c r="AJ146" s="39">
        <v>48.661207299999994</v>
      </c>
      <c r="AK146" s="39">
        <v>48.66106674</v>
      </c>
      <c r="AL146" s="39">
        <v>56.732251590000004</v>
      </c>
      <c r="AM146" s="39">
        <v>64.2523894</v>
      </c>
      <c r="AN146" s="39">
        <v>59.62476799</v>
      </c>
      <c r="AO146" s="39">
        <v>65.39932947999999</v>
      </c>
      <c r="AP146" s="39">
        <v>72.63545636</v>
      </c>
      <c r="AQ146" s="39">
        <v>69.92804093000001</v>
      </c>
      <c r="AR146" s="39">
        <v>86.28672226</v>
      </c>
      <c r="AS146" s="39">
        <v>100.56073255</v>
      </c>
      <c r="AT146" s="59">
        <v>103.74471673000001</v>
      </c>
      <c r="AU146" s="12"/>
      <c r="BH146" s="12"/>
      <c r="BU146" s="15"/>
      <c r="CH146" s="30"/>
    </row>
    <row r="147" spans="2:86" ht="15">
      <c r="B147" s="37" t="s">
        <v>33</v>
      </c>
      <c r="C147" s="60">
        <v>0</v>
      </c>
      <c r="D147" s="39">
        <v>0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30.73615263</v>
      </c>
      <c r="M147" s="39">
        <v>66.34321446</v>
      </c>
      <c r="N147" s="39">
        <v>66.55571195</v>
      </c>
      <c r="O147" s="39">
        <v>81.85823169</v>
      </c>
      <c r="P147" s="39">
        <v>78.91289813</v>
      </c>
      <c r="Q147" s="39">
        <v>84.04497429999999</v>
      </c>
      <c r="R147" s="39">
        <v>83.34549828</v>
      </c>
      <c r="S147" s="39">
        <v>83.75480275</v>
      </c>
      <c r="T147" s="39">
        <v>63.14528076</v>
      </c>
      <c r="U147" s="39">
        <v>114.07317431</v>
      </c>
      <c r="V147" s="39">
        <v>123.19815329000001</v>
      </c>
      <c r="W147" s="59">
        <v>144.15672419999999</v>
      </c>
      <c r="X147" s="12"/>
      <c r="Y147" s="37" t="s">
        <v>33</v>
      </c>
      <c r="Z147" s="60">
        <v>13.785316269999997</v>
      </c>
      <c r="AA147" s="39">
        <v>12.82401452</v>
      </c>
      <c r="AB147" s="39">
        <v>29.183078690000002</v>
      </c>
      <c r="AC147" s="39">
        <v>29.31694495</v>
      </c>
      <c r="AD147" s="39">
        <v>32.75312503</v>
      </c>
      <c r="AE147" s="39">
        <v>30.00297482</v>
      </c>
      <c r="AF147" s="39">
        <v>32.32215698</v>
      </c>
      <c r="AG147" s="39">
        <v>36.188013070000004</v>
      </c>
      <c r="AH147" s="39">
        <v>40.90328384</v>
      </c>
      <c r="AI147" s="39">
        <v>42.17819586</v>
      </c>
      <c r="AJ147" s="39">
        <v>44.90948472</v>
      </c>
      <c r="AK147" s="39">
        <v>47.54361762</v>
      </c>
      <c r="AL147" s="39">
        <v>53.538841170000005</v>
      </c>
      <c r="AM147" s="39">
        <v>59.18492347</v>
      </c>
      <c r="AN147" s="39">
        <v>58.05638739</v>
      </c>
      <c r="AO147" s="39">
        <v>58.755131299999995</v>
      </c>
      <c r="AP147" s="39">
        <v>65.41361804</v>
      </c>
      <c r="AQ147" s="39">
        <v>68.35660154</v>
      </c>
      <c r="AR147" s="39">
        <v>82.80507918</v>
      </c>
      <c r="AS147" s="39">
        <v>94.19740303</v>
      </c>
      <c r="AT147" s="59">
        <v>105.50340708</v>
      </c>
      <c r="AU147" s="12"/>
      <c r="BH147" s="12"/>
      <c r="BU147" s="15"/>
      <c r="CH147" s="30"/>
    </row>
    <row r="148" spans="2:86" ht="15">
      <c r="B148" s="37" t="s">
        <v>34</v>
      </c>
      <c r="C148" s="60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51.550467479999995</v>
      </c>
      <c r="M148" s="39">
        <v>56.893128520000005</v>
      </c>
      <c r="N148" s="39">
        <v>62.803922869999994</v>
      </c>
      <c r="O148" s="39">
        <v>74.62916815999999</v>
      </c>
      <c r="P148" s="39">
        <v>80.96974445000001</v>
      </c>
      <c r="Q148" s="39">
        <v>88.17497119</v>
      </c>
      <c r="R148" s="39">
        <v>81.43853766</v>
      </c>
      <c r="S148" s="39">
        <v>82.99651841</v>
      </c>
      <c r="T148" s="39">
        <v>61.34483761</v>
      </c>
      <c r="U148" s="39">
        <v>105.52943520999999</v>
      </c>
      <c r="V148" s="39">
        <v>122.3936816</v>
      </c>
      <c r="W148" s="59">
        <v>146.18647086000001</v>
      </c>
      <c r="X148" s="12"/>
      <c r="Y148" s="37" t="s">
        <v>34</v>
      </c>
      <c r="Z148" s="60">
        <v>15.415846729999998</v>
      </c>
      <c r="AA148" s="39">
        <v>13.52356512</v>
      </c>
      <c r="AB148" s="39">
        <v>29.104990609999998</v>
      </c>
      <c r="AC148" s="39">
        <v>32.0496438</v>
      </c>
      <c r="AD148" s="39">
        <v>34.98456247</v>
      </c>
      <c r="AE148" s="39">
        <v>34.897207689999995</v>
      </c>
      <c r="AF148" s="39">
        <v>37.05153007</v>
      </c>
      <c r="AG148" s="39">
        <v>39.15776375</v>
      </c>
      <c r="AH148" s="39">
        <v>41.18533654</v>
      </c>
      <c r="AI148" s="39">
        <v>46.79020894</v>
      </c>
      <c r="AJ148" s="39">
        <v>49.76065694</v>
      </c>
      <c r="AK148" s="39">
        <v>54.339711189999996</v>
      </c>
      <c r="AL148" s="39">
        <v>62.064965210000004</v>
      </c>
      <c r="AM148" s="39">
        <v>59.43430753</v>
      </c>
      <c r="AN148" s="39">
        <v>63.01423207</v>
      </c>
      <c r="AO148" s="39">
        <v>66.62444698</v>
      </c>
      <c r="AP148" s="39">
        <v>75.98134756</v>
      </c>
      <c r="AQ148" s="39">
        <v>78.25190739</v>
      </c>
      <c r="AR148" s="39">
        <v>93.16820678</v>
      </c>
      <c r="AS148" s="39">
        <v>97.05165997</v>
      </c>
      <c r="AT148" s="59">
        <v>110.63121853</v>
      </c>
      <c r="AU148" s="12"/>
      <c r="BH148" s="12"/>
      <c r="BU148" s="15"/>
      <c r="CH148" s="30"/>
    </row>
    <row r="149" spans="2:86" ht="15">
      <c r="B149" s="37" t="s">
        <v>35</v>
      </c>
      <c r="C149" s="60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52.14346679</v>
      </c>
      <c r="M149" s="39">
        <v>55.33303028</v>
      </c>
      <c r="N149" s="39">
        <v>62.942082369999994</v>
      </c>
      <c r="O149" s="39">
        <v>71.84857498999999</v>
      </c>
      <c r="P149" s="39">
        <v>77.7724398</v>
      </c>
      <c r="Q149" s="39">
        <v>77.78522052</v>
      </c>
      <c r="R149" s="39">
        <v>71.27137216</v>
      </c>
      <c r="S149" s="39">
        <v>82.44214839</v>
      </c>
      <c r="T149" s="39">
        <v>79.01578665000001</v>
      </c>
      <c r="U149" s="39">
        <v>101.39113565000001</v>
      </c>
      <c r="V149" s="39">
        <v>113.72455323999999</v>
      </c>
      <c r="W149" s="59">
        <v>137.87675224</v>
      </c>
      <c r="X149" s="12"/>
      <c r="Y149" s="37" t="s">
        <v>35</v>
      </c>
      <c r="Z149" s="60">
        <v>15.560948349999999</v>
      </c>
      <c r="AA149" s="39">
        <v>25.705044469999997</v>
      </c>
      <c r="AB149" s="39">
        <v>31.28933144</v>
      </c>
      <c r="AC149" s="39">
        <v>34.38560854999999</v>
      </c>
      <c r="AD149" s="39">
        <v>35.692256560000004</v>
      </c>
      <c r="AE149" s="39">
        <v>36.138980200000006</v>
      </c>
      <c r="AF149" s="39">
        <v>34.242205590000005</v>
      </c>
      <c r="AG149" s="39">
        <v>37.30145034</v>
      </c>
      <c r="AH149" s="39">
        <v>42.7126066</v>
      </c>
      <c r="AI149" s="39">
        <v>46.093399240000004</v>
      </c>
      <c r="AJ149" s="39">
        <v>47.670278689999996</v>
      </c>
      <c r="AK149" s="39">
        <v>51.297410060000004</v>
      </c>
      <c r="AL149" s="39">
        <v>59.612184469999995</v>
      </c>
      <c r="AM149" s="39">
        <v>64.36546998</v>
      </c>
      <c r="AN149" s="39">
        <v>63.50357139</v>
      </c>
      <c r="AO149" s="39">
        <v>66.94439484</v>
      </c>
      <c r="AP149" s="39">
        <v>74.14992009999999</v>
      </c>
      <c r="AQ149" s="39">
        <v>77.55514751999999</v>
      </c>
      <c r="AR149" s="39">
        <v>81.69367104000001</v>
      </c>
      <c r="AS149" s="39">
        <v>96.76079287</v>
      </c>
      <c r="AT149" s="59">
        <v>104.83181468000001</v>
      </c>
      <c r="AU149" s="12"/>
      <c r="BH149" s="12"/>
      <c r="BU149" s="15"/>
      <c r="CH149" s="30"/>
    </row>
    <row r="150" spans="2:86" ht="15">
      <c r="B150" s="37" t="s">
        <v>36</v>
      </c>
      <c r="C150" s="60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64.91475689</v>
      </c>
      <c r="M150" s="39">
        <v>69.60162301000001</v>
      </c>
      <c r="N150" s="39">
        <v>68.36946878</v>
      </c>
      <c r="O150" s="39">
        <v>79.69213293000001</v>
      </c>
      <c r="P150" s="39">
        <v>75.95313268000001</v>
      </c>
      <c r="Q150" s="39">
        <v>80.38125868</v>
      </c>
      <c r="R150" s="39">
        <v>87.98620986</v>
      </c>
      <c r="S150" s="39">
        <v>93.05108928</v>
      </c>
      <c r="T150" s="39">
        <v>80.00840151999999</v>
      </c>
      <c r="U150" s="39">
        <v>106.75900718000001</v>
      </c>
      <c r="V150" s="39">
        <v>111.76319574</v>
      </c>
      <c r="W150" s="59">
        <v>129.65644764000012</v>
      </c>
      <c r="X150" s="12"/>
      <c r="Y150" s="37" t="s">
        <v>36</v>
      </c>
      <c r="Z150" s="60">
        <v>15.116863819999999</v>
      </c>
      <c r="AA150" s="39">
        <v>25.50643071</v>
      </c>
      <c r="AB150" s="39">
        <v>30.71261935</v>
      </c>
      <c r="AC150" s="39">
        <v>32.57003743</v>
      </c>
      <c r="AD150" s="39">
        <v>33.1114688</v>
      </c>
      <c r="AE150" s="39">
        <v>36.068817800000005</v>
      </c>
      <c r="AF150" s="39">
        <v>37.1313539</v>
      </c>
      <c r="AG150" s="39">
        <v>37.68535174</v>
      </c>
      <c r="AH150" s="39">
        <v>41.34166362</v>
      </c>
      <c r="AI150" s="39">
        <v>42.215104229999994</v>
      </c>
      <c r="AJ150" s="39">
        <v>48.183894880000004</v>
      </c>
      <c r="AK150" s="39">
        <v>51.59042741</v>
      </c>
      <c r="AL150" s="39">
        <v>58.65041297</v>
      </c>
      <c r="AM150" s="39">
        <v>60.26844247</v>
      </c>
      <c r="AN150" s="39">
        <v>61.78670977</v>
      </c>
      <c r="AO150" s="39">
        <v>63.41213529</v>
      </c>
      <c r="AP150" s="39">
        <v>62.88935327</v>
      </c>
      <c r="AQ150" s="39">
        <v>78.184721</v>
      </c>
      <c r="AR150" s="39">
        <v>84.20024120999999</v>
      </c>
      <c r="AS150" s="39">
        <v>94.45512570999999</v>
      </c>
      <c r="AT150" s="59">
        <v>107.33408919000033</v>
      </c>
      <c r="AU150" s="12"/>
      <c r="BH150" s="12"/>
      <c r="BU150" s="15"/>
      <c r="CH150" s="30"/>
    </row>
    <row r="151" spans="2:86" ht="15">
      <c r="B151" s="37" t="s">
        <v>37</v>
      </c>
      <c r="C151" s="60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67.27249125</v>
      </c>
      <c r="M151" s="61">
        <v>60.64144925</v>
      </c>
      <c r="N151" s="39">
        <v>75.7573723</v>
      </c>
      <c r="O151" s="39">
        <v>82.3180738</v>
      </c>
      <c r="P151" s="39">
        <v>90.73765339</v>
      </c>
      <c r="Q151" s="39">
        <v>85.90498718</v>
      </c>
      <c r="R151" s="39">
        <v>93.42813998999999</v>
      </c>
      <c r="S151" s="39">
        <v>86.61993911</v>
      </c>
      <c r="T151" s="39">
        <v>92.22619590000001</v>
      </c>
      <c r="U151" s="39">
        <v>113.25699395999999</v>
      </c>
      <c r="V151" s="39">
        <v>137.70977337</v>
      </c>
      <c r="W151" s="59"/>
      <c r="X151" s="12"/>
      <c r="Y151" s="37" t="s">
        <v>37</v>
      </c>
      <c r="Z151" s="60">
        <v>15.67283463</v>
      </c>
      <c r="AA151" s="39">
        <v>27.80953246</v>
      </c>
      <c r="AB151" s="39">
        <v>27.46433273</v>
      </c>
      <c r="AC151" s="39">
        <v>34.56822254</v>
      </c>
      <c r="AD151" s="39">
        <v>36.33010041000001</v>
      </c>
      <c r="AE151" s="39">
        <v>34.244500009999996</v>
      </c>
      <c r="AF151" s="39">
        <v>37.63709847</v>
      </c>
      <c r="AG151" s="39">
        <v>37.39270666</v>
      </c>
      <c r="AH151" s="39">
        <v>40.17086794</v>
      </c>
      <c r="AI151" s="39">
        <v>48.11836618</v>
      </c>
      <c r="AJ151" s="61">
        <v>50.459292909999995</v>
      </c>
      <c r="AK151" s="39">
        <v>53.76945248</v>
      </c>
      <c r="AL151" s="39">
        <v>61.830628479999994</v>
      </c>
      <c r="AM151" s="39">
        <v>61.59505657</v>
      </c>
      <c r="AN151" s="39">
        <v>66.11695215</v>
      </c>
      <c r="AO151" s="39">
        <v>69.85044123</v>
      </c>
      <c r="AP151" s="39">
        <v>82.53487151</v>
      </c>
      <c r="AQ151" s="39">
        <v>86.39138653</v>
      </c>
      <c r="AR151" s="39">
        <v>95.20027054</v>
      </c>
      <c r="AS151" s="39">
        <v>100.26452590000001</v>
      </c>
      <c r="AT151" s="59"/>
      <c r="AU151" s="12"/>
      <c r="BH151" s="12"/>
      <c r="BU151" s="15"/>
      <c r="CH151" s="30"/>
    </row>
    <row r="152" spans="2:86" ht="15.75" thickBot="1">
      <c r="B152" s="37" t="s">
        <v>38</v>
      </c>
      <c r="C152" s="60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63.95657868</v>
      </c>
      <c r="M152" s="39">
        <v>72.11699775</v>
      </c>
      <c r="N152" s="39">
        <v>81.0201826</v>
      </c>
      <c r="O152" s="39">
        <v>98.44127194</v>
      </c>
      <c r="P152" s="39">
        <v>104.83734392</v>
      </c>
      <c r="Q152" s="39">
        <v>111.12618289</v>
      </c>
      <c r="R152" s="39">
        <v>97.3038125</v>
      </c>
      <c r="S152" s="39">
        <v>109.73998999</v>
      </c>
      <c r="T152" s="39">
        <v>108.84423579000001</v>
      </c>
      <c r="U152" s="39">
        <v>105.06293825</v>
      </c>
      <c r="V152" s="39">
        <v>145.22875582</v>
      </c>
      <c r="W152" s="59"/>
      <c r="X152" s="12"/>
      <c r="Y152" s="37" t="s">
        <v>38</v>
      </c>
      <c r="Z152" s="60">
        <v>14.84952223</v>
      </c>
      <c r="AA152" s="39">
        <v>34.806105020000004</v>
      </c>
      <c r="AB152" s="39">
        <v>37.96632993</v>
      </c>
      <c r="AC152" s="39">
        <v>39.03744861</v>
      </c>
      <c r="AD152" s="39">
        <v>39.97606833</v>
      </c>
      <c r="AE152" s="39">
        <v>40.569125230000004</v>
      </c>
      <c r="AF152" s="39">
        <v>43.30149501</v>
      </c>
      <c r="AG152" s="39">
        <v>48.572287980000006</v>
      </c>
      <c r="AH152" s="39">
        <v>53.32031085</v>
      </c>
      <c r="AI152" s="39">
        <v>52.57061119</v>
      </c>
      <c r="AJ152" s="39">
        <v>55.86825872</v>
      </c>
      <c r="AK152" s="39">
        <v>58.667967700000005</v>
      </c>
      <c r="AL152" s="39">
        <v>69.80337585</v>
      </c>
      <c r="AM152" s="39">
        <v>68.45737444</v>
      </c>
      <c r="AN152" s="39">
        <v>71.30969776</v>
      </c>
      <c r="AO152" s="39">
        <v>77.22084203</v>
      </c>
      <c r="AP152" s="39">
        <v>83.35779818</v>
      </c>
      <c r="AQ152" s="39">
        <v>85.84985645</v>
      </c>
      <c r="AR152" s="39">
        <v>101.75310114</v>
      </c>
      <c r="AS152" s="39">
        <v>106.49253026000001</v>
      </c>
      <c r="AT152" s="59"/>
      <c r="AU152" s="12"/>
      <c r="BH152" s="12"/>
      <c r="BU152" s="15"/>
      <c r="CH152" s="30"/>
    </row>
    <row r="153" spans="2:86" ht="15.75" thickBot="1">
      <c r="B153" s="35" t="s">
        <v>3</v>
      </c>
      <c r="C153" s="43">
        <f>SUM(C141:C152)</f>
        <v>0</v>
      </c>
      <c r="D153" s="36">
        <f>SUM(D141:D152)</f>
        <v>0</v>
      </c>
      <c r="E153" s="36">
        <f aca="true" t="shared" si="12" ref="E153:R153">SUM(E141:E152)</f>
        <v>0</v>
      </c>
      <c r="F153" s="36">
        <f t="shared" si="12"/>
        <v>0</v>
      </c>
      <c r="G153" s="36">
        <f t="shared" si="12"/>
        <v>0</v>
      </c>
      <c r="H153" s="36">
        <f t="shared" si="12"/>
        <v>0</v>
      </c>
      <c r="I153" s="36">
        <f t="shared" si="12"/>
        <v>0</v>
      </c>
      <c r="J153" s="36">
        <f t="shared" si="12"/>
        <v>0</v>
      </c>
      <c r="K153" s="36">
        <f t="shared" si="12"/>
        <v>0</v>
      </c>
      <c r="L153" s="36">
        <f t="shared" si="12"/>
        <v>330.57391372</v>
      </c>
      <c r="M153" s="36">
        <f t="shared" si="12"/>
        <v>694.1348830700001</v>
      </c>
      <c r="N153" s="36">
        <f t="shared" si="12"/>
        <v>747.12968707</v>
      </c>
      <c r="O153" s="36">
        <f t="shared" si="12"/>
        <v>913.75984153</v>
      </c>
      <c r="P153" s="36">
        <f t="shared" si="12"/>
        <v>967.19093212</v>
      </c>
      <c r="Q153" s="36">
        <f t="shared" si="12"/>
        <v>952.8712058899999</v>
      </c>
      <c r="R153" s="36">
        <f t="shared" si="12"/>
        <v>952.7125354099999</v>
      </c>
      <c r="S153" s="36">
        <v>998.83106823</v>
      </c>
      <c r="T153" s="36">
        <f>SUM(T141:T152)</f>
        <v>835.75679394</v>
      </c>
      <c r="U153" s="36">
        <v>1238.4698973200002</v>
      </c>
      <c r="V153" s="36">
        <f>SUM(V141:V152)</f>
        <v>1402.13486884</v>
      </c>
      <c r="W153" s="58">
        <f>SUM(W141:W152)</f>
        <v>1367.1470776400001</v>
      </c>
      <c r="X153" s="12"/>
      <c r="Y153" s="35" t="s">
        <v>3</v>
      </c>
      <c r="Z153" s="43">
        <f>SUM(Z141:Z152)</f>
        <v>285.87898594999996</v>
      </c>
      <c r="AA153" s="36">
        <f>SUM(AA141:AA152)</f>
        <v>229.48380118</v>
      </c>
      <c r="AB153" s="36">
        <f aca="true" t="shared" si="13" ref="AB153:AO153">SUM(AB141:AB152)</f>
        <v>372.07648014000006</v>
      </c>
      <c r="AC153" s="36">
        <f t="shared" si="13"/>
        <v>401.90260335</v>
      </c>
      <c r="AD153" s="36">
        <f t="shared" si="13"/>
        <v>426.64288593000003</v>
      </c>
      <c r="AE153" s="36">
        <f t="shared" si="13"/>
        <v>436.91060401</v>
      </c>
      <c r="AF153" s="36">
        <f t="shared" si="13"/>
        <v>435.08656245000003</v>
      </c>
      <c r="AG153" s="36">
        <f t="shared" si="13"/>
        <v>477.16374021</v>
      </c>
      <c r="AH153" s="36">
        <f t="shared" si="13"/>
        <v>523.62210882</v>
      </c>
      <c r="AI153" s="36">
        <f t="shared" si="13"/>
        <v>554.34404981</v>
      </c>
      <c r="AJ153" s="36">
        <f t="shared" si="13"/>
        <v>589.5826714</v>
      </c>
      <c r="AK153" s="36">
        <f t="shared" si="13"/>
        <v>629.35848677</v>
      </c>
      <c r="AL153" s="36">
        <f t="shared" si="13"/>
        <v>709.50213617</v>
      </c>
      <c r="AM153" s="36">
        <f t="shared" si="13"/>
        <v>744.7789444199999</v>
      </c>
      <c r="AN153" s="36">
        <f t="shared" si="13"/>
        <v>759.5037924399999</v>
      </c>
      <c r="AO153" s="36">
        <f t="shared" si="13"/>
        <v>790.3438305899999</v>
      </c>
      <c r="AP153" s="36">
        <v>869.6220304100001</v>
      </c>
      <c r="AQ153" s="36">
        <f>SUM(AQ141:AQ152)</f>
        <v>895.4022271699998</v>
      </c>
      <c r="AR153" s="36">
        <v>1058.71690855</v>
      </c>
      <c r="AS153" s="36">
        <f>SUM(AS141:AS152)</f>
        <v>1159.3319218</v>
      </c>
      <c r="AT153" s="58">
        <f>SUM(AT141:AT152)</f>
        <v>1030.6892386900004</v>
      </c>
      <c r="AU153" s="12"/>
      <c r="BH153" s="12"/>
      <c r="BU153" s="15"/>
      <c r="CH153" s="30"/>
    </row>
    <row r="154" spans="2:85" ht="15">
      <c r="B154" s="4" t="s">
        <v>4</v>
      </c>
      <c r="C154" s="4"/>
      <c r="D154" s="4"/>
      <c r="E154" s="4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12"/>
      <c r="Q154" s="12"/>
      <c r="R154" s="12"/>
      <c r="S154" s="12"/>
      <c r="T154" s="12"/>
      <c r="U154" s="12"/>
      <c r="V154" s="12"/>
      <c r="W154" s="12"/>
      <c r="X154" s="4"/>
      <c r="Y154" s="4" t="s">
        <v>4</v>
      </c>
      <c r="Z154" s="4"/>
      <c r="AA154" s="4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12"/>
      <c r="AN154" s="12"/>
      <c r="AO154" s="12"/>
      <c r="AP154" s="12"/>
      <c r="AQ154" s="12"/>
      <c r="AR154" s="12"/>
      <c r="AS154" s="12"/>
      <c r="AT154" s="12"/>
      <c r="BG154" s="12"/>
      <c r="BT154" s="15"/>
      <c r="CG154" s="30"/>
    </row>
    <row r="155" spans="2:85" ht="15">
      <c r="B155" s="73" t="s">
        <v>5</v>
      </c>
      <c r="C155" s="73"/>
      <c r="D155" s="73"/>
      <c r="E155" s="73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12"/>
      <c r="Q155" s="12"/>
      <c r="R155" s="12"/>
      <c r="S155" s="12"/>
      <c r="T155" s="12"/>
      <c r="U155" s="12"/>
      <c r="V155" s="12"/>
      <c r="W155" s="12"/>
      <c r="X155" s="50"/>
      <c r="Y155" s="50" t="s">
        <v>5</v>
      </c>
      <c r="Z155" s="50"/>
      <c r="AA155" s="50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12"/>
      <c r="AN155" s="12"/>
      <c r="AO155" s="12"/>
      <c r="AP155" s="12"/>
      <c r="AQ155" s="12"/>
      <c r="AR155" s="12"/>
      <c r="AS155" s="12"/>
      <c r="AT155" s="12"/>
      <c r="BG155" s="12"/>
      <c r="BT155" s="15"/>
      <c r="CG155" s="30"/>
    </row>
    <row r="156" spans="16:85" ht="15">
      <c r="P156" s="12"/>
      <c r="Q156" s="12"/>
      <c r="R156" s="12"/>
      <c r="S156" s="12"/>
      <c r="T156" s="12"/>
      <c r="U156" s="12"/>
      <c r="V156" s="12"/>
      <c r="W156" s="12"/>
      <c r="AM156" s="12"/>
      <c r="AN156" s="12"/>
      <c r="AO156" s="12"/>
      <c r="AP156" s="12"/>
      <c r="AQ156" s="12"/>
      <c r="AR156" s="12"/>
      <c r="AS156" s="12"/>
      <c r="AT156" s="12"/>
      <c r="BG156" s="12"/>
      <c r="BT156" s="15"/>
      <c r="CG156" s="30"/>
    </row>
    <row r="157" spans="2:85" ht="15.75" customHeight="1">
      <c r="B157" s="75" t="s">
        <v>16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49"/>
      <c r="Y157" s="75" t="s">
        <v>17</v>
      </c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BG157" s="12"/>
      <c r="BT157" s="17"/>
      <c r="CG157" s="30"/>
    </row>
    <row r="158" spans="2:85" ht="15">
      <c r="B158" s="72" t="s">
        <v>39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Y158" s="72" t="s">
        <v>39</v>
      </c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BG158" s="12"/>
      <c r="BT158" s="5"/>
      <c r="CG158" s="30"/>
    </row>
    <row r="159" spans="2:85" ht="15.75" thickBot="1">
      <c r="B159" s="71" t="s">
        <v>1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Y159" s="71" t="s">
        <v>1</v>
      </c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8"/>
      <c r="BT159" s="6"/>
      <c r="CG159" s="23"/>
    </row>
    <row r="160" spans="2:86" ht="33" customHeight="1" thickBot="1">
      <c r="B160" s="33" t="s">
        <v>2</v>
      </c>
      <c r="C160" s="41">
        <v>2003</v>
      </c>
      <c r="D160" s="34">
        <v>2004</v>
      </c>
      <c r="E160" s="34">
        <v>2005</v>
      </c>
      <c r="F160" s="34">
        <v>2006</v>
      </c>
      <c r="G160" s="34">
        <v>2007</v>
      </c>
      <c r="H160" s="34">
        <v>2008</v>
      </c>
      <c r="I160" s="34">
        <v>2009</v>
      </c>
      <c r="J160" s="34">
        <v>2010</v>
      </c>
      <c r="K160" s="34">
        <v>2011</v>
      </c>
      <c r="L160" s="34">
        <v>2012</v>
      </c>
      <c r="M160" s="34">
        <v>2013</v>
      </c>
      <c r="N160" s="34">
        <v>2014</v>
      </c>
      <c r="O160" s="34">
        <v>2015</v>
      </c>
      <c r="P160" s="34">
        <v>2016</v>
      </c>
      <c r="Q160" s="34">
        <v>2017</v>
      </c>
      <c r="R160" s="34">
        <v>2018</v>
      </c>
      <c r="S160" s="34">
        <v>2019</v>
      </c>
      <c r="T160" s="34">
        <v>2020</v>
      </c>
      <c r="U160" s="34">
        <v>2021</v>
      </c>
      <c r="V160" s="34">
        <v>2022</v>
      </c>
      <c r="W160" s="55">
        <v>2023</v>
      </c>
      <c r="X160" s="51"/>
      <c r="Y160" s="33" t="s">
        <v>2</v>
      </c>
      <c r="Z160" s="41">
        <v>2003</v>
      </c>
      <c r="AA160" s="34">
        <v>2004</v>
      </c>
      <c r="AB160" s="34">
        <v>2005</v>
      </c>
      <c r="AC160" s="34">
        <v>2006</v>
      </c>
      <c r="AD160" s="34">
        <v>2007</v>
      </c>
      <c r="AE160" s="34">
        <v>2008</v>
      </c>
      <c r="AF160" s="34">
        <v>2009</v>
      </c>
      <c r="AG160" s="34">
        <v>2010</v>
      </c>
      <c r="AH160" s="34">
        <v>2011</v>
      </c>
      <c r="AI160" s="34">
        <v>2012</v>
      </c>
      <c r="AJ160" s="34">
        <v>2013</v>
      </c>
      <c r="AK160" s="34">
        <v>2014</v>
      </c>
      <c r="AL160" s="34">
        <v>2015</v>
      </c>
      <c r="AM160" s="34">
        <v>2016</v>
      </c>
      <c r="AN160" s="34">
        <v>2017</v>
      </c>
      <c r="AO160" s="34">
        <v>2018</v>
      </c>
      <c r="AP160" s="34">
        <v>2019</v>
      </c>
      <c r="AQ160" s="34">
        <v>2020</v>
      </c>
      <c r="AR160" s="34">
        <v>2021</v>
      </c>
      <c r="AS160" s="34">
        <v>2022</v>
      </c>
      <c r="AT160" s="55">
        <v>2023</v>
      </c>
      <c r="AU160" s="8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8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23"/>
    </row>
    <row r="161" spans="2:86" ht="4.5" customHeight="1"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56"/>
      <c r="X161" s="8"/>
      <c r="Y161" s="46"/>
      <c r="Z161" s="47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56"/>
      <c r="AU161" s="8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8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23"/>
    </row>
    <row r="162" spans="2:86" ht="15">
      <c r="B162" s="37" t="s">
        <v>27</v>
      </c>
      <c r="C162" s="60">
        <v>29.14614248</v>
      </c>
      <c r="D162" s="39">
        <v>16.23109534</v>
      </c>
      <c r="E162" s="39">
        <v>29.04062852</v>
      </c>
      <c r="F162" s="39">
        <v>31.72071176</v>
      </c>
      <c r="G162" s="39">
        <v>51.81478482</v>
      </c>
      <c r="H162" s="39">
        <v>38.16828795</v>
      </c>
      <c r="I162" s="39">
        <v>38.37863496</v>
      </c>
      <c r="J162" s="39">
        <v>31.437830310000002</v>
      </c>
      <c r="K162" s="39">
        <v>23.85078821</v>
      </c>
      <c r="L162" s="39">
        <v>20.86651538</v>
      </c>
      <c r="M162" s="39">
        <v>29.38383988</v>
      </c>
      <c r="N162" s="39">
        <v>15.98024932</v>
      </c>
      <c r="O162" s="39">
        <v>15.099457730000001</v>
      </c>
      <c r="P162" s="39">
        <v>23.08999614</v>
      </c>
      <c r="Q162" s="39">
        <v>25.17324575</v>
      </c>
      <c r="R162" s="39">
        <v>32.10331379</v>
      </c>
      <c r="S162" s="39">
        <v>49.3832704</v>
      </c>
      <c r="T162" s="39">
        <v>18.76552782</v>
      </c>
      <c r="U162" s="39">
        <v>18.20981832</v>
      </c>
      <c r="V162" s="39">
        <v>35.58893244</v>
      </c>
      <c r="W162" s="59">
        <v>36.87609486</v>
      </c>
      <c r="X162" s="8"/>
      <c r="Y162" s="37" t="s">
        <v>27</v>
      </c>
      <c r="Z162" s="60">
        <v>6.1954562</v>
      </c>
      <c r="AA162" s="39">
        <v>6.73569367</v>
      </c>
      <c r="AB162" s="39">
        <v>6.975525060000001</v>
      </c>
      <c r="AC162" s="39">
        <v>7.31305239</v>
      </c>
      <c r="AD162" s="39">
        <v>5.6510010600000005</v>
      </c>
      <c r="AE162" s="39">
        <v>10.14667751</v>
      </c>
      <c r="AF162" s="39">
        <v>7.0327408799999995</v>
      </c>
      <c r="AG162" s="39">
        <v>10.35797724</v>
      </c>
      <c r="AH162" s="39">
        <v>8.48931101</v>
      </c>
      <c r="AI162" s="39">
        <v>8.37569195</v>
      </c>
      <c r="AJ162" s="39">
        <v>7.70595001</v>
      </c>
      <c r="AK162" s="39">
        <v>8.18537853</v>
      </c>
      <c r="AL162" s="39">
        <v>14.404958019999999</v>
      </c>
      <c r="AM162" s="39">
        <v>7.2452524</v>
      </c>
      <c r="AN162" s="39">
        <v>10.00318051</v>
      </c>
      <c r="AO162" s="39">
        <v>9.511336230000001</v>
      </c>
      <c r="AP162" s="39">
        <v>11.06304454</v>
      </c>
      <c r="AQ162" s="39">
        <v>11.160001119999999</v>
      </c>
      <c r="AR162" s="39">
        <v>13.775210900000001</v>
      </c>
      <c r="AS162" s="39">
        <v>15.1947852</v>
      </c>
      <c r="AT162" s="59">
        <v>14.36236508</v>
      </c>
      <c r="AU162" s="8"/>
      <c r="AV162" s="25"/>
      <c r="AW162" s="25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8"/>
      <c r="BI162" s="25"/>
      <c r="BJ162" s="25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23"/>
    </row>
    <row r="163" spans="2:86" ht="15.75">
      <c r="B163" s="37" t="s">
        <v>28</v>
      </c>
      <c r="C163" s="60">
        <v>23.92682572</v>
      </c>
      <c r="D163" s="39">
        <v>22.802204070000002</v>
      </c>
      <c r="E163" s="39">
        <v>24.83908298</v>
      </c>
      <c r="F163" s="39">
        <v>20.76794877</v>
      </c>
      <c r="G163" s="39">
        <v>10.95714382</v>
      </c>
      <c r="H163" s="39">
        <v>23.62746304</v>
      </c>
      <c r="I163" s="39">
        <v>22.89724169</v>
      </c>
      <c r="J163" s="39">
        <v>27.09660256</v>
      </c>
      <c r="K163" s="39">
        <v>26.07585617</v>
      </c>
      <c r="L163" s="39">
        <v>21.73780135</v>
      </c>
      <c r="M163" s="39">
        <v>31.43844845</v>
      </c>
      <c r="N163" s="39">
        <v>27.96959944</v>
      </c>
      <c r="O163" s="39">
        <v>28.74165274</v>
      </c>
      <c r="P163" s="39">
        <v>32.88930106</v>
      </c>
      <c r="Q163" s="39">
        <v>30.577537739999997</v>
      </c>
      <c r="R163" s="39">
        <v>32.34978415</v>
      </c>
      <c r="S163" s="39">
        <v>18.765118570000002</v>
      </c>
      <c r="T163" s="39">
        <v>61.061106439999996</v>
      </c>
      <c r="U163" s="39">
        <v>47.250636840000006</v>
      </c>
      <c r="V163" s="39">
        <v>17.74747778</v>
      </c>
      <c r="W163" s="59">
        <v>18.44197037</v>
      </c>
      <c r="X163" s="7"/>
      <c r="Y163" s="37" t="s">
        <v>28</v>
      </c>
      <c r="Z163" s="60">
        <v>6.51074166</v>
      </c>
      <c r="AA163" s="39">
        <v>6.71297622</v>
      </c>
      <c r="AB163" s="39">
        <v>6.982760150000001</v>
      </c>
      <c r="AC163" s="39">
        <v>8.50088564</v>
      </c>
      <c r="AD163" s="39">
        <v>9.03211458</v>
      </c>
      <c r="AE163" s="39">
        <v>7.88133203</v>
      </c>
      <c r="AF163" s="39">
        <v>9.33626016</v>
      </c>
      <c r="AG163" s="39">
        <v>6.340254390000001</v>
      </c>
      <c r="AH163" s="39">
        <v>8.0633047</v>
      </c>
      <c r="AI163" s="39">
        <v>8.73750096</v>
      </c>
      <c r="AJ163" s="39">
        <v>9.60651798</v>
      </c>
      <c r="AK163" s="39">
        <v>8.07937976</v>
      </c>
      <c r="AL163" s="39">
        <v>21.759662239999997</v>
      </c>
      <c r="AM163" s="39">
        <v>9.286224189999999</v>
      </c>
      <c r="AN163" s="39">
        <v>8.66006746</v>
      </c>
      <c r="AO163" s="39">
        <v>8.77280358</v>
      </c>
      <c r="AP163" s="39">
        <v>10.90341841</v>
      </c>
      <c r="AQ163" s="39">
        <v>11.003051150000001</v>
      </c>
      <c r="AR163" s="39">
        <v>14.470393300000001</v>
      </c>
      <c r="AS163" s="39">
        <v>13.64491009</v>
      </c>
      <c r="AT163" s="59">
        <v>18.72919898</v>
      </c>
      <c r="AU163" s="7"/>
      <c r="BH163" s="7"/>
      <c r="BU163" s="1"/>
      <c r="CH163" s="29"/>
    </row>
    <row r="164" spans="2:86" ht="15">
      <c r="B164" s="37" t="s">
        <v>29</v>
      </c>
      <c r="C164" s="60">
        <v>23.256005289999997</v>
      </c>
      <c r="D164" s="39">
        <v>21.33909968</v>
      </c>
      <c r="E164" s="39">
        <v>25.89777077</v>
      </c>
      <c r="F164" s="39">
        <v>28.50610275</v>
      </c>
      <c r="G164" s="39">
        <v>22.26594949</v>
      </c>
      <c r="H164" s="39">
        <v>26.2874427</v>
      </c>
      <c r="I164" s="39">
        <v>26.593133820000002</v>
      </c>
      <c r="J164" s="39">
        <v>29.16458799</v>
      </c>
      <c r="K164" s="39">
        <v>21.92591296</v>
      </c>
      <c r="L164" s="39">
        <v>37.62367547</v>
      </c>
      <c r="M164" s="39">
        <v>46.483617689999996</v>
      </c>
      <c r="N164" s="39">
        <v>33.457344140000004</v>
      </c>
      <c r="O164" s="39">
        <v>28.21357682</v>
      </c>
      <c r="P164" s="39">
        <v>28.52701307</v>
      </c>
      <c r="Q164" s="39">
        <v>42.29073367</v>
      </c>
      <c r="R164" s="39">
        <v>29.45058869</v>
      </c>
      <c r="S164" s="39">
        <v>27.47375807</v>
      </c>
      <c r="T164" s="39">
        <v>18.132911510000003</v>
      </c>
      <c r="U164" s="39">
        <v>28.14982332</v>
      </c>
      <c r="V164" s="39">
        <v>26.25383511</v>
      </c>
      <c r="W164" s="59">
        <v>26.32234945</v>
      </c>
      <c r="X164" s="8"/>
      <c r="Y164" s="37" t="s">
        <v>29</v>
      </c>
      <c r="Z164" s="60">
        <v>7.28414933</v>
      </c>
      <c r="AA164" s="39">
        <v>7.09463608</v>
      </c>
      <c r="AB164" s="39">
        <v>8.59431026</v>
      </c>
      <c r="AC164" s="39">
        <v>7.496003</v>
      </c>
      <c r="AD164" s="39">
        <v>11.66424086</v>
      </c>
      <c r="AE164" s="39">
        <v>11.05712394</v>
      </c>
      <c r="AF164" s="39">
        <v>8.53805307</v>
      </c>
      <c r="AG164" s="39">
        <v>7.37131268</v>
      </c>
      <c r="AH164" s="39">
        <v>9.88308982</v>
      </c>
      <c r="AI164" s="39">
        <v>10.344779130000001</v>
      </c>
      <c r="AJ164" s="39">
        <v>7.60342175</v>
      </c>
      <c r="AK164" s="39">
        <v>7.49780784</v>
      </c>
      <c r="AL164" s="39">
        <v>30.30218169</v>
      </c>
      <c r="AM164" s="39">
        <v>9.2088573</v>
      </c>
      <c r="AN164" s="39">
        <v>8.49380638</v>
      </c>
      <c r="AO164" s="39">
        <v>9.130721560000001</v>
      </c>
      <c r="AP164" s="39">
        <v>7.98672205</v>
      </c>
      <c r="AQ164" s="39">
        <v>13.03547779</v>
      </c>
      <c r="AR164" s="39">
        <v>13.32629239</v>
      </c>
      <c r="AS164" s="39">
        <v>15.369425230000001</v>
      </c>
      <c r="AT164" s="59">
        <v>14.83679441</v>
      </c>
      <c r="AU164" s="8"/>
      <c r="BH164" s="8"/>
      <c r="BU164" s="2"/>
      <c r="CH164" s="23"/>
    </row>
    <row r="165" spans="2:86" ht="15">
      <c r="B165" s="37" t="s">
        <v>30</v>
      </c>
      <c r="C165" s="60">
        <v>25.32371212</v>
      </c>
      <c r="D165" s="39">
        <v>24.82842311</v>
      </c>
      <c r="E165" s="39">
        <v>28.41131403</v>
      </c>
      <c r="F165" s="39">
        <v>35.34963724</v>
      </c>
      <c r="G165" s="39">
        <v>31.52554762</v>
      </c>
      <c r="H165" s="39">
        <v>28.183761150000002</v>
      </c>
      <c r="I165" s="39">
        <v>27.59349245</v>
      </c>
      <c r="J165" s="39">
        <v>33.14180674</v>
      </c>
      <c r="K165" s="39">
        <v>22.12791792</v>
      </c>
      <c r="L165" s="39">
        <v>13.874289869999998</v>
      </c>
      <c r="M165" s="39">
        <v>24.95349136</v>
      </c>
      <c r="N165" s="39">
        <v>25.66067647</v>
      </c>
      <c r="O165" s="39">
        <v>31.590518489999997</v>
      </c>
      <c r="P165" s="39">
        <v>32.85955141</v>
      </c>
      <c r="Q165" s="39">
        <v>22.50208462</v>
      </c>
      <c r="R165" s="39">
        <v>30.88990329</v>
      </c>
      <c r="S165" s="39">
        <v>21.78445636</v>
      </c>
      <c r="T165" s="39">
        <v>12.58582698</v>
      </c>
      <c r="U165" s="39">
        <v>11.76918841</v>
      </c>
      <c r="V165" s="39">
        <v>27.22948905</v>
      </c>
      <c r="W165" s="59">
        <v>25.26391166</v>
      </c>
      <c r="X165" s="8"/>
      <c r="Y165" s="37" t="s">
        <v>30</v>
      </c>
      <c r="Z165" s="60">
        <v>7.50524363</v>
      </c>
      <c r="AA165" s="39">
        <v>7.63822207</v>
      </c>
      <c r="AB165" s="39">
        <v>7.59739122</v>
      </c>
      <c r="AC165" s="39">
        <v>8.865678</v>
      </c>
      <c r="AD165" s="39">
        <v>8.63875722</v>
      </c>
      <c r="AE165" s="39">
        <v>10.52345256</v>
      </c>
      <c r="AF165" s="39">
        <v>8.72034308</v>
      </c>
      <c r="AG165" s="39">
        <v>9.04336217</v>
      </c>
      <c r="AH165" s="39">
        <v>9.72994905</v>
      </c>
      <c r="AI165" s="39">
        <v>9.04538674</v>
      </c>
      <c r="AJ165" s="39">
        <v>7.50259495</v>
      </c>
      <c r="AK165" s="39">
        <v>9.44549119</v>
      </c>
      <c r="AL165" s="39">
        <v>28.883375280000003</v>
      </c>
      <c r="AM165" s="39">
        <v>8.10064036</v>
      </c>
      <c r="AN165" s="39">
        <v>10.043508039999999</v>
      </c>
      <c r="AO165" s="39">
        <v>10.67820408</v>
      </c>
      <c r="AP165" s="39">
        <v>11.35408383</v>
      </c>
      <c r="AQ165" s="39">
        <v>9.3985401</v>
      </c>
      <c r="AR165" s="39">
        <v>15.46270152</v>
      </c>
      <c r="AS165" s="39">
        <v>17.81747075</v>
      </c>
      <c r="AT165" s="59">
        <v>20.46390159</v>
      </c>
      <c r="AU165" s="8"/>
      <c r="BH165" s="8"/>
      <c r="BU165" s="2"/>
      <c r="CH165" s="23"/>
    </row>
    <row r="166" spans="2:86" ht="16.5" customHeight="1">
      <c r="B166" s="37" t="s">
        <v>31</v>
      </c>
      <c r="C166" s="60">
        <v>21.33784443</v>
      </c>
      <c r="D166" s="39">
        <v>23.987017440000002</v>
      </c>
      <c r="E166" s="39">
        <v>24.13841764</v>
      </c>
      <c r="F166" s="39">
        <v>20.6692408</v>
      </c>
      <c r="G166" s="39">
        <v>26.520539330000002</v>
      </c>
      <c r="H166" s="39">
        <v>27.27967015</v>
      </c>
      <c r="I166" s="39">
        <v>31.36649943</v>
      </c>
      <c r="J166" s="39">
        <v>49.40822728</v>
      </c>
      <c r="K166" s="39">
        <v>19.85606761</v>
      </c>
      <c r="L166" s="39">
        <v>17.42614575</v>
      </c>
      <c r="M166" s="39">
        <v>23.26166045</v>
      </c>
      <c r="N166" s="39">
        <v>29.63038982</v>
      </c>
      <c r="O166" s="39">
        <v>39.80589774</v>
      </c>
      <c r="P166" s="39">
        <v>37.60491536</v>
      </c>
      <c r="Q166" s="39">
        <v>31.824841829999997</v>
      </c>
      <c r="R166" s="39">
        <v>21.07825709</v>
      </c>
      <c r="S166" s="39">
        <v>32.12987286</v>
      </c>
      <c r="T166" s="39">
        <v>8.28619542</v>
      </c>
      <c r="U166" s="39">
        <v>20.319271760000003</v>
      </c>
      <c r="V166" s="39">
        <v>34.5775956</v>
      </c>
      <c r="W166" s="59">
        <v>29.316873809999997</v>
      </c>
      <c r="X166" s="12"/>
      <c r="Y166" s="37" t="s">
        <v>31</v>
      </c>
      <c r="Z166" s="60">
        <v>6.9787794299999995</v>
      </c>
      <c r="AA166" s="39">
        <v>7.4358990899999995</v>
      </c>
      <c r="AB166" s="39">
        <v>8.649202540000001</v>
      </c>
      <c r="AC166" s="39">
        <v>10.99136998</v>
      </c>
      <c r="AD166" s="39">
        <v>9.34593549</v>
      </c>
      <c r="AE166" s="39">
        <v>6.9126514199999995</v>
      </c>
      <c r="AF166" s="39">
        <v>8.227209160000001</v>
      </c>
      <c r="AG166" s="39">
        <v>9.73272629</v>
      </c>
      <c r="AH166" s="39">
        <v>8.66675203</v>
      </c>
      <c r="AI166" s="39">
        <v>9.50571981</v>
      </c>
      <c r="AJ166" s="39">
        <v>9.52952398</v>
      </c>
      <c r="AK166" s="39">
        <v>8.39397639</v>
      </c>
      <c r="AL166" s="39">
        <v>31.00969512</v>
      </c>
      <c r="AM166" s="39">
        <v>11.44342184</v>
      </c>
      <c r="AN166" s="39">
        <v>9.76995301</v>
      </c>
      <c r="AO166" s="39">
        <v>10.848351300000001</v>
      </c>
      <c r="AP166" s="39">
        <v>10.649863199999999</v>
      </c>
      <c r="AQ166" s="39">
        <v>12.07998635</v>
      </c>
      <c r="AR166" s="39">
        <v>16.40762212</v>
      </c>
      <c r="AS166" s="39">
        <v>13.88718192</v>
      </c>
      <c r="AT166" s="59">
        <v>13.62197095</v>
      </c>
      <c r="AU166" s="12"/>
      <c r="BH166" s="12"/>
      <c r="BU166" s="13"/>
      <c r="CH166" s="30"/>
    </row>
    <row r="167" spans="2:86" ht="15">
      <c r="B167" s="37" t="s">
        <v>32</v>
      </c>
      <c r="C167" s="60">
        <v>20.616236230000002</v>
      </c>
      <c r="D167" s="39">
        <v>31.75625664</v>
      </c>
      <c r="E167" s="39">
        <v>50.64966166000001</v>
      </c>
      <c r="F167" s="39">
        <v>18.92064887</v>
      </c>
      <c r="G167" s="39">
        <v>28.74252767</v>
      </c>
      <c r="H167" s="39">
        <v>25.274681100000002</v>
      </c>
      <c r="I167" s="39">
        <v>26.88860713</v>
      </c>
      <c r="J167" s="39">
        <v>17.012498420000004</v>
      </c>
      <c r="K167" s="39">
        <v>26.35535315</v>
      </c>
      <c r="L167" s="39">
        <v>29.398556149999997</v>
      </c>
      <c r="M167" s="39">
        <v>27.26293704</v>
      </c>
      <c r="N167" s="39">
        <v>37.12732788</v>
      </c>
      <c r="O167" s="39">
        <v>43.45091772</v>
      </c>
      <c r="P167" s="39">
        <v>27.0542653</v>
      </c>
      <c r="Q167" s="39">
        <v>30.51477921</v>
      </c>
      <c r="R167" s="39">
        <v>24.55096991</v>
      </c>
      <c r="S167" s="39">
        <v>36.97074338</v>
      </c>
      <c r="T167" s="39">
        <v>14.079600039999999</v>
      </c>
      <c r="U167" s="39">
        <v>24.91421442</v>
      </c>
      <c r="V167" s="39">
        <v>12.92887565</v>
      </c>
      <c r="W167" s="59">
        <v>25.180450649999997</v>
      </c>
      <c r="X167" s="12"/>
      <c r="Y167" s="37" t="s">
        <v>32</v>
      </c>
      <c r="Z167" s="60">
        <v>6.91449333</v>
      </c>
      <c r="AA167" s="39">
        <v>7.4975375</v>
      </c>
      <c r="AB167" s="39">
        <v>8.16640179</v>
      </c>
      <c r="AC167" s="39">
        <v>10.54115763</v>
      </c>
      <c r="AD167" s="39">
        <v>11.21537737</v>
      </c>
      <c r="AE167" s="39">
        <v>10.19111902</v>
      </c>
      <c r="AF167" s="39">
        <v>10.47068055</v>
      </c>
      <c r="AG167" s="39">
        <v>7.29174904</v>
      </c>
      <c r="AH167" s="39">
        <v>11.194223619999999</v>
      </c>
      <c r="AI167" s="39">
        <v>8.33136405</v>
      </c>
      <c r="AJ167" s="39">
        <v>9.118751679999999</v>
      </c>
      <c r="AK167" s="39">
        <v>9.3097265</v>
      </c>
      <c r="AL167" s="39">
        <v>40.088582810000005</v>
      </c>
      <c r="AM167" s="39">
        <v>10.05031969</v>
      </c>
      <c r="AN167" s="39">
        <v>11.70849458</v>
      </c>
      <c r="AO167" s="39">
        <v>14.09337539</v>
      </c>
      <c r="AP167" s="39">
        <v>11.89714172</v>
      </c>
      <c r="AQ167" s="39">
        <v>9.729636880000001</v>
      </c>
      <c r="AR167" s="39">
        <v>17.98481623</v>
      </c>
      <c r="AS167" s="39">
        <v>18.60540641</v>
      </c>
      <c r="AT167" s="59">
        <v>18.373641489999997</v>
      </c>
      <c r="AU167" s="12"/>
      <c r="BH167" s="12"/>
      <c r="BU167" s="15"/>
      <c r="CH167" s="30"/>
    </row>
    <row r="168" spans="2:86" ht="15">
      <c r="B168" s="37" t="s">
        <v>33</v>
      </c>
      <c r="C168" s="60">
        <v>18.619970300000002</v>
      </c>
      <c r="D168" s="39">
        <v>17.69966009</v>
      </c>
      <c r="E168" s="39">
        <v>5.17247149</v>
      </c>
      <c r="F168" s="39">
        <v>23.94812002</v>
      </c>
      <c r="G168" s="39">
        <v>25.606230280000002</v>
      </c>
      <c r="H168" s="39">
        <v>29.40249296</v>
      </c>
      <c r="I168" s="39">
        <v>33.43996713</v>
      </c>
      <c r="J168" s="39">
        <v>28.45398339</v>
      </c>
      <c r="K168" s="39">
        <v>19.2686019</v>
      </c>
      <c r="L168" s="39">
        <v>28.61000698</v>
      </c>
      <c r="M168" s="39">
        <v>39.22228011</v>
      </c>
      <c r="N168" s="39">
        <v>80.89900757</v>
      </c>
      <c r="O168" s="39">
        <v>46.27590528</v>
      </c>
      <c r="P168" s="39">
        <v>34.02660037</v>
      </c>
      <c r="Q168" s="39">
        <v>29.879791899999997</v>
      </c>
      <c r="R168" s="39">
        <v>30.361259280000002</v>
      </c>
      <c r="S168" s="39">
        <v>20.71512452</v>
      </c>
      <c r="T168" s="39">
        <v>20.38108463</v>
      </c>
      <c r="U168" s="39">
        <v>24.27353931</v>
      </c>
      <c r="V168" s="39">
        <v>29.49804438</v>
      </c>
      <c r="W168" s="59">
        <v>26.176378070000002</v>
      </c>
      <c r="X168" s="12"/>
      <c r="Y168" s="37" t="s">
        <v>33</v>
      </c>
      <c r="Z168" s="60">
        <v>6.91665037</v>
      </c>
      <c r="AA168" s="39">
        <v>6.73497924</v>
      </c>
      <c r="AB168" s="39">
        <v>7.18134563</v>
      </c>
      <c r="AC168" s="39">
        <v>8.80792593</v>
      </c>
      <c r="AD168" s="39">
        <v>9.1668949</v>
      </c>
      <c r="AE168" s="39">
        <v>7.70691041</v>
      </c>
      <c r="AF168" s="39">
        <v>7.62370049</v>
      </c>
      <c r="AG168" s="39">
        <v>7.10071441</v>
      </c>
      <c r="AH168" s="39">
        <v>8.39405326</v>
      </c>
      <c r="AI168" s="39">
        <v>7.98075778</v>
      </c>
      <c r="AJ168" s="39">
        <v>8.031367099999999</v>
      </c>
      <c r="AK168" s="39">
        <v>8.11272958</v>
      </c>
      <c r="AL168" s="39">
        <v>30.45500065</v>
      </c>
      <c r="AM168" s="39">
        <v>14.48644777</v>
      </c>
      <c r="AN168" s="39">
        <v>9.40837057</v>
      </c>
      <c r="AO168" s="39">
        <v>9.16869474</v>
      </c>
      <c r="AP168" s="39">
        <v>13.0936039</v>
      </c>
      <c r="AQ168" s="39">
        <v>11.79622456</v>
      </c>
      <c r="AR168" s="39">
        <v>18.98530755</v>
      </c>
      <c r="AS168" s="39">
        <v>13.88453875</v>
      </c>
      <c r="AT168" s="59">
        <v>19.785906949999998</v>
      </c>
      <c r="AU168" s="12"/>
      <c r="BH168" s="12"/>
      <c r="BU168" s="15"/>
      <c r="CH168" s="30"/>
    </row>
    <row r="169" spans="2:86" ht="15">
      <c r="B169" s="37" t="s">
        <v>34</v>
      </c>
      <c r="C169" s="60">
        <v>24.92888173</v>
      </c>
      <c r="D169" s="39">
        <v>12.67371499</v>
      </c>
      <c r="E169" s="39">
        <v>22.29197064</v>
      </c>
      <c r="F169" s="39">
        <v>27.95235028</v>
      </c>
      <c r="G169" s="39">
        <v>31.82122658</v>
      </c>
      <c r="H169" s="39">
        <v>29.27953606</v>
      </c>
      <c r="I169" s="39">
        <v>42.4499029</v>
      </c>
      <c r="J169" s="39">
        <v>29.9269657</v>
      </c>
      <c r="K169" s="39">
        <v>23.97183469</v>
      </c>
      <c r="L169" s="39">
        <v>25.82345422</v>
      </c>
      <c r="M169" s="39">
        <v>32.3252652</v>
      </c>
      <c r="N169" s="39">
        <v>24.580969940000003</v>
      </c>
      <c r="O169" s="39">
        <v>20.219694269999998</v>
      </c>
      <c r="P169" s="39">
        <v>45.88677302000001</v>
      </c>
      <c r="Q169" s="39">
        <v>29.704143339999998</v>
      </c>
      <c r="R169" s="39">
        <v>27.61504125</v>
      </c>
      <c r="S169" s="39">
        <v>30.414242440000002</v>
      </c>
      <c r="T169" s="39">
        <v>27.40164008</v>
      </c>
      <c r="U169" s="39">
        <v>29.141297469999998</v>
      </c>
      <c r="V169" s="39">
        <v>39.1009242</v>
      </c>
      <c r="W169" s="59">
        <v>15.299781359999999</v>
      </c>
      <c r="X169" s="12"/>
      <c r="Y169" s="37" t="s">
        <v>34</v>
      </c>
      <c r="Z169" s="60">
        <v>7.71356476</v>
      </c>
      <c r="AA169" s="39">
        <v>7.3961589199999995</v>
      </c>
      <c r="AB169" s="39">
        <v>7.595047429999999</v>
      </c>
      <c r="AC169" s="39">
        <v>10.22243835</v>
      </c>
      <c r="AD169" s="39">
        <v>12.960487120000002</v>
      </c>
      <c r="AE169" s="39">
        <v>8.840807439999999</v>
      </c>
      <c r="AF169" s="39">
        <v>7.928958440000001</v>
      </c>
      <c r="AG169" s="39">
        <v>8.20864032</v>
      </c>
      <c r="AH169" s="39">
        <v>8.96643033</v>
      </c>
      <c r="AI169" s="39">
        <v>8.19330367</v>
      </c>
      <c r="AJ169" s="39">
        <v>8.38839484</v>
      </c>
      <c r="AK169" s="39">
        <v>8.795635650000001</v>
      </c>
      <c r="AL169" s="39">
        <v>31.51951545</v>
      </c>
      <c r="AM169" s="39">
        <v>12.930644630000002</v>
      </c>
      <c r="AN169" s="39">
        <v>9.37607987</v>
      </c>
      <c r="AO169" s="39">
        <v>11.364477019999999</v>
      </c>
      <c r="AP169" s="39">
        <v>11.99873799</v>
      </c>
      <c r="AQ169" s="39">
        <v>16.01619551</v>
      </c>
      <c r="AR169" s="39">
        <v>16.21612862</v>
      </c>
      <c r="AS169" s="39">
        <v>14.15446516</v>
      </c>
      <c r="AT169" s="59">
        <v>18.97184488</v>
      </c>
      <c r="AU169" s="12"/>
      <c r="BH169" s="12"/>
      <c r="BU169" s="15"/>
      <c r="CH169" s="30"/>
    </row>
    <row r="170" spans="2:86" ht="15">
      <c r="B170" s="37" t="s">
        <v>35</v>
      </c>
      <c r="C170" s="60">
        <v>36.70856621</v>
      </c>
      <c r="D170" s="39">
        <v>22.65412684</v>
      </c>
      <c r="E170" s="39">
        <v>25.684410420000003</v>
      </c>
      <c r="F170" s="39">
        <v>27.00382785</v>
      </c>
      <c r="G170" s="39">
        <v>29.42588535</v>
      </c>
      <c r="H170" s="39">
        <v>29.530219990000003</v>
      </c>
      <c r="I170" s="39">
        <v>19.889220740000003</v>
      </c>
      <c r="J170" s="39">
        <v>33.25580275</v>
      </c>
      <c r="K170" s="39">
        <v>21.66663573</v>
      </c>
      <c r="L170" s="39">
        <v>25.468740829999998</v>
      </c>
      <c r="M170" s="39">
        <v>39.251988329999996</v>
      </c>
      <c r="N170" s="39">
        <v>14.77876883</v>
      </c>
      <c r="O170" s="39">
        <v>33.642042700000005</v>
      </c>
      <c r="P170" s="39">
        <v>25.47662503</v>
      </c>
      <c r="Q170" s="39">
        <v>29.6278947</v>
      </c>
      <c r="R170" s="39">
        <v>29.42454311</v>
      </c>
      <c r="S170" s="39">
        <v>34.400952170000004</v>
      </c>
      <c r="T170" s="39">
        <v>27.02032846</v>
      </c>
      <c r="U170" s="39">
        <v>27.68460771</v>
      </c>
      <c r="V170" s="39">
        <v>23.24529343</v>
      </c>
      <c r="W170" s="59">
        <v>28.715375329999997</v>
      </c>
      <c r="X170" s="12"/>
      <c r="Y170" s="37" t="s">
        <v>35</v>
      </c>
      <c r="Z170" s="60">
        <v>6.83409941</v>
      </c>
      <c r="AA170" s="39">
        <v>7.49694255</v>
      </c>
      <c r="AB170" s="39">
        <v>8.8915581</v>
      </c>
      <c r="AC170" s="39">
        <v>8.09075733</v>
      </c>
      <c r="AD170" s="39">
        <v>9.190856040000002</v>
      </c>
      <c r="AE170" s="39">
        <v>8.46105039</v>
      </c>
      <c r="AF170" s="39">
        <v>9.09913427</v>
      </c>
      <c r="AG170" s="39">
        <v>9.6542316</v>
      </c>
      <c r="AH170" s="39">
        <v>9.41549467</v>
      </c>
      <c r="AI170" s="39">
        <v>7.8710210499999995</v>
      </c>
      <c r="AJ170" s="39">
        <v>8.49896426</v>
      </c>
      <c r="AK170" s="39">
        <v>10.43056294</v>
      </c>
      <c r="AL170" s="39">
        <v>25.52108725</v>
      </c>
      <c r="AM170" s="39">
        <v>9.71151052</v>
      </c>
      <c r="AN170" s="39">
        <v>9.542376390000001</v>
      </c>
      <c r="AO170" s="39">
        <v>8.92736026</v>
      </c>
      <c r="AP170" s="39">
        <v>10.90965248</v>
      </c>
      <c r="AQ170" s="39">
        <v>13.22369698</v>
      </c>
      <c r="AR170" s="39">
        <v>12.12444229</v>
      </c>
      <c r="AS170" s="39">
        <v>16.37743993</v>
      </c>
      <c r="AT170" s="59">
        <v>17.81776259</v>
      </c>
      <c r="AU170" s="12"/>
      <c r="BH170" s="12"/>
      <c r="BU170" s="15"/>
      <c r="CH170" s="30"/>
    </row>
    <row r="171" spans="2:86" ht="15">
      <c r="B171" s="37" t="s">
        <v>36</v>
      </c>
      <c r="C171" s="60">
        <v>7.05425102</v>
      </c>
      <c r="D171" s="39">
        <v>21.39391761</v>
      </c>
      <c r="E171" s="39">
        <v>26.04960475</v>
      </c>
      <c r="F171" s="39">
        <v>29.141631810000003</v>
      </c>
      <c r="G171" s="39">
        <v>30.69510261</v>
      </c>
      <c r="H171" s="39">
        <v>45.00172612</v>
      </c>
      <c r="I171" s="39">
        <v>20.82945644</v>
      </c>
      <c r="J171" s="39">
        <v>26.64750916</v>
      </c>
      <c r="K171" s="39">
        <v>19.52365962</v>
      </c>
      <c r="L171" s="39">
        <v>37.33721161</v>
      </c>
      <c r="M171" s="39">
        <v>39.55230175</v>
      </c>
      <c r="N171" s="39">
        <v>26.78665907</v>
      </c>
      <c r="O171" s="39">
        <v>33.91877794</v>
      </c>
      <c r="P171" s="39">
        <v>25.40392895</v>
      </c>
      <c r="Q171" s="39">
        <v>29.406539329999998</v>
      </c>
      <c r="R171" s="39">
        <v>25.59036391</v>
      </c>
      <c r="S171" s="39">
        <v>34.5273302</v>
      </c>
      <c r="T171" s="39">
        <v>28.052726</v>
      </c>
      <c r="U171" s="39">
        <v>31.03928658</v>
      </c>
      <c r="V171" s="39">
        <v>31.01298053</v>
      </c>
      <c r="W171" s="59">
        <v>36.47668144999997</v>
      </c>
      <c r="X171" s="12"/>
      <c r="Y171" s="37" t="s">
        <v>36</v>
      </c>
      <c r="Z171" s="60">
        <v>6.74977782</v>
      </c>
      <c r="AA171" s="39">
        <v>7.07437587</v>
      </c>
      <c r="AB171" s="39">
        <v>7.1941070499999995</v>
      </c>
      <c r="AC171" s="39">
        <v>9.98042597</v>
      </c>
      <c r="AD171" s="39">
        <v>10.65155594</v>
      </c>
      <c r="AE171" s="39">
        <v>6.60193019</v>
      </c>
      <c r="AF171" s="39">
        <v>6.9625547800000005</v>
      </c>
      <c r="AG171" s="39">
        <v>6.2088896600000005</v>
      </c>
      <c r="AH171" s="39">
        <v>6.73095608</v>
      </c>
      <c r="AI171" s="39">
        <v>8.94214807</v>
      </c>
      <c r="AJ171" s="39">
        <v>9.143859390000001</v>
      </c>
      <c r="AK171" s="39">
        <v>7.03602696</v>
      </c>
      <c r="AL171" s="39">
        <v>22.713048269999998</v>
      </c>
      <c r="AM171" s="39">
        <v>7.9244651699999995</v>
      </c>
      <c r="AN171" s="39">
        <v>7.00922662</v>
      </c>
      <c r="AO171" s="39">
        <v>7.5247607400000005</v>
      </c>
      <c r="AP171" s="39">
        <v>10.3899092</v>
      </c>
      <c r="AQ171" s="39">
        <v>13.038395</v>
      </c>
      <c r="AR171" s="39">
        <v>15.36901466</v>
      </c>
      <c r="AS171" s="39">
        <v>13.70924317</v>
      </c>
      <c r="AT171" s="59">
        <v>13.77085378999999</v>
      </c>
      <c r="AU171" s="12"/>
      <c r="BH171" s="12"/>
      <c r="BU171" s="15"/>
      <c r="CH171" s="30"/>
    </row>
    <row r="172" spans="2:86" ht="15">
      <c r="B172" s="37" t="s">
        <v>37</v>
      </c>
      <c r="C172" s="60">
        <v>16.9426418</v>
      </c>
      <c r="D172" s="39">
        <v>24.505002440000002</v>
      </c>
      <c r="E172" s="39">
        <v>26.08943261</v>
      </c>
      <c r="F172" s="39">
        <v>27.727990039999998</v>
      </c>
      <c r="G172" s="39">
        <v>30.17539773</v>
      </c>
      <c r="H172" s="39">
        <v>25.144532870000003</v>
      </c>
      <c r="I172" s="39">
        <v>20.60475117</v>
      </c>
      <c r="J172" s="39">
        <v>17.06929431</v>
      </c>
      <c r="K172" s="39">
        <v>18.43664282</v>
      </c>
      <c r="L172" s="39">
        <v>34.65263582</v>
      </c>
      <c r="M172" s="61">
        <v>24.10771127</v>
      </c>
      <c r="N172" s="39">
        <v>58.902784340000004</v>
      </c>
      <c r="O172" s="39">
        <v>17.40340881</v>
      </c>
      <c r="P172" s="39">
        <v>26.42639726</v>
      </c>
      <c r="Q172" s="39">
        <v>31.09660544</v>
      </c>
      <c r="R172" s="39">
        <v>32.4232022</v>
      </c>
      <c r="S172" s="39">
        <v>32.31901014</v>
      </c>
      <c r="T172" s="39">
        <v>32.36035635</v>
      </c>
      <c r="U172" s="39">
        <v>37.92624894</v>
      </c>
      <c r="V172" s="39">
        <v>44.02474754</v>
      </c>
      <c r="W172" s="59"/>
      <c r="X172" s="12"/>
      <c r="Y172" s="37" t="s">
        <v>37</v>
      </c>
      <c r="Z172" s="60">
        <v>7.6683559599999995</v>
      </c>
      <c r="AA172" s="39">
        <v>7.587126759999999</v>
      </c>
      <c r="AB172" s="39">
        <v>6.770083980000001</v>
      </c>
      <c r="AC172" s="39">
        <v>8.91369867</v>
      </c>
      <c r="AD172" s="39">
        <v>10.932407200000002</v>
      </c>
      <c r="AE172" s="39">
        <v>9.5411762</v>
      </c>
      <c r="AF172" s="39">
        <v>7.04250563</v>
      </c>
      <c r="AG172" s="39">
        <v>7.47460363</v>
      </c>
      <c r="AH172" s="39">
        <v>6.399984</v>
      </c>
      <c r="AI172" s="39">
        <v>7.37898204</v>
      </c>
      <c r="AJ172" s="61">
        <v>7.54339742</v>
      </c>
      <c r="AK172" s="39">
        <v>7.315241230000001</v>
      </c>
      <c r="AL172" s="39">
        <v>24.31569104</v>
      </c>
      <c r="AM172" s="39">
        <v>9.12802789</v>
      </c>
      <c r="AN172" s="39">
        <v>9.50529348</v>
      </c>
      <c r="AO172" s="39">
        <v>13.08472992</v>
      </c>
      <c r="AP172" s="39">
        <v>10.1324241</v>
      </c>
      <c r="AQ172" s="39">
        <v>14.404829150000001</v>
      </c>
      <c r="AR172" s="39">
        <v>15.644233779999999</v>
      </c>
      <c r="AS172" s="39">
        <v>17.73507973</v>
      </c>
      <c r="AT172" s="59"/>
      <c r="AU172" s="12"/>
      <c r="BH172" s="12"/>
      <c r="BU172" s="15"/>
      <c r="CH172" s="30"/>
    </row>
    <row r="173" spans="2:86" ht="15.75" thickBot="1">
      <c r="B173" s="37" t="s">
        <v>38</v>
      </c>
      <c r="C173" s="60">
        <v>30.411908190000002</v>
      </c>
      <c r="D173" s="39">
        <v>24.34159398</v>
      </c>
      <c r="E173" s="39">
        <v>23.74562523</v>
      </c>
      <c r="F173" s="39">
        <v>29.597229740000003</v>
      </c>
      <c r="G173" s="39">
        <v>35.67680645</v>
      </c>
      <c r="H173" s="39">
        <v>15.19249734</v>
      </c>
      <c r="I173" s="39">
        <v>28.967985199999998</v>
      </c>
      <c r="J173" s="39">
        <v>24.101868</v>
      </c>
      <c r="K173" s="39">
        <v>16.29843314</v>
      </c>
      <c r="L173" s="39">
        <v>19.60869512</v>
      </c>
      <c r="M173" s="39">
        <v>27.981652920000002</v>
      </c>
      <c r="N173" s="39">
        <v>28.68026625</v>
      </c>
      <c r="O173" s="39">
        <v>30.344166079999997</v>
      </c>
      <c r="P173" s="39">
        <v>25.439016969999997</v>
      </c>
      <c r="Q173" s="39">
        <v>15.283360029999999</v>
      </c>
      <c r="R173" s="39">
        <v>21.29275981</v>
      </c>
      <c r="S173" s="39">
        <v>23.63932643</v>
      </c>
      <c r="T173" s="39">
        <v>30.46034388</v>
      </c>
      <c r="U173" s="39">
        <v>31.91626834</v>
      </c>
      <c r="V173" s="39">
        <v>24.98284318</v>
      </c>
      <c r="W173" s="59"/>
      <c r="X173" s="12"/>
      <c r="Y173" s="37" t="s">
        <v>38</v>
      </c>
      <c r="Z173" s="60">
        <v>6.56709253</v>
      </c>
      <c r="AA173" s="39">
        <v>7.227232679999999</v>
      </c>
      <c r="AB173" s="39">
        <v>8.15927203</v>
      </c>
      <c r="AC173" s="39">
        <v>9.9051321</v>
      </c>
      <c r="AD173" s="39">
        <v>8.17401636</v>
      </c>
      <c r="AE173" s="39">
        <v>6.94701284</v>
      </c>
      <c r="AF173" s="39">
        <v>7.701112310000001</v>
      </c>
      <c r="AG173" s="39">
        <v>9.88563469</v>
      </c>
      <c r="AH173" s="39">
        <v>8.15240359</v>
      </c>
      <c r="AI173" s="39">
        <v>7.64783397</v>
      </c>
      <c r="AJ173" s="39">
        <v>7.21501743</v>
      </c>
      <c r="AK173" s="39">
        <v>7.89493393</v>
      </c>
      <c r="AL173" s="39">
        <v>10.589273279999999</v>
      </c>
      <c r="AM173" s="39">
        <v>7.5633852599999996</v>
      </c>
      <c r="AN173" s="39">
        <v>10.46038506</v>
      </c>
      <c r="AO173" s="39">
        <v>10.18031715</v>
      </c>
      <c r="AP173" s="39">
        <v>11.02310077</v>
      </c>
      <c r="AQ173" s="39">
        <v>12.35532942</v>
      </c>
      <c r="AR173" s="39">
        <v>13.460905310000001</v>
      </c>
      <c r="AS173" s="39">
        <v>15.15355008</v>
      </c>
      <c r="AT173" s="59"/>
      <c r="AU173" s="12"/>
      <c r="BH173" s="12"/>
      <c r="BU173" s="15"/>
      <c r="CH173" s="30"/>
    </row>
    <row r="174" spans="2:86" ht="15.75" thickBot="1">
      <c r="B174" s="35" t="s">
        <v>3</v>
      </c>
      <c r="C174" s="43">
        <f>SUM(C162:C173)</f>
        <v>278.27298552</v>
      </c>
      <c r="D174" s="36">
        <f>SUM(D162:D173)</f>
        <v>264.21211223</v>
      </c>
      <c r="E174" s="36">
        <f aca="true" t="shared" si="14" ref="E174:R174">SUM(E162:E173)</f>
        <v>312.01039074000005</v>
      </c>
      <c r="F174" s="36">
        <f t="shared" si="14"/>
        <v>321.30543993</v>
      </c>
      <c r="G174" s="36">
        <f t="shared" si="14"/>
        <v>355.22714175</v>
      </c>
      <c r="H174" s="36">
        <f t="shared" si="14"/>
        <v>342.37231142999997</v>
      </c>
      <c r="I174" s="36">
        <f t="shared" si="14"/>
        <v>339.8988930599999</v>
      </c>
      <c r="J174" s="36">
        <f t="shared" si="14"/>
        <v>346.7169766100001</v>
      </c>
      <c r="K174" s="36">
        <f t="shared" si="14"/>
        <v>259.35770392</v>
      </c>
      <c r="L174" s="36">
        <f t="shared" si="14"/>
        <v>312.42772855</v>
      </c>
      <c r="M174" s="36">
        <f t="shared" si="14"/>
        <v>385.22519445</v>
      </c>
      <c r="N174" s="36">
        <f t="shared" si="14"/>
        <v>404.45404306999995</v>
      </c>
      <c r="O174" s="36">
        <f t="shared" si="14"/>
        <v>368.70601631999995</v>
      </c>
      <c r="P174" s="36">
        <f t="shared" si="14"/>
        <v>364.68438394000003</v>
      </c>
      <c r="Q174" s="36">
        <f t="shared" si="14"/>
        <v>347.88155756</v>
      </c>
      <c r="R174" s="36">
        <f t="shared" si="14"/>
        <v>337.12998647999996</v>
      </c>
      <c r="S174" s="36">
        <v>362.52320554</v>
      </c>
      <c r="T174" s="36">
        <f>SUM(T162:T173)</f>
        <v>298.58764761</v>
      </c>
      <c r="U174" s="36">
        <v>332.59420141999993</v>
      </c>
      <c r="V174" s="36">
        <f>SUM(V162:V173)</f>
        <v>346.19103889</v>
      </c>
      <c r="W174" s="58">
        <f>SUM(W162:W173)</f>
        <v>268.06986701</v>
      </c>
      <c r="X174" s="12"/>
      <c r="Y174" s="35" t="s">
        <v>3</v>
      </c>
      <c r="Z174" s="43">
        <f>SUM(Z162:Z173)</f>
        <v>83.83840443</v>
      </c>
      <c r="AA174" s="36">
        <f>SUM(AA162:AA173)</f>
        <v>86.63178065</v>
      </c>
      <c r="AB174" s="36">
        <f aca="true" t="shared" si="15" ref="AB174:AO174">SUM(AB162:AB173)</f>
        <v>92.75700524</v>
      </c>
      <c r="AC174" s="36">
        <f t="shared" si="15"/>
        <v>109.62852499000002</v>
      </c>
      <c r="AD174" s="36">
        <f t="shared" si="15"/>
        <v>116.62364413999998</v>
      </c>
      <c r="AE174" s="36">
        <f t="shared" si="15"/>
        <v>104.81124395</v>
      </c>
      <c r="AF174" s="36">
        <f t="shared" si="15"/>
        <v>98.68325281999999</v>
      </c>
      <c r="AG174" s="36">
        <f t="shared" si="15"/>
        <v>98.67009612000001</v>
      </c>
      <c r="AH174" s="36">
        <f t="shared" si="15"/>
        <v>104.08595215999999</v>
      </c>
      <c r="AI174" s="36">
        <f t="shared" si="15"/>
        <v>102.35448921999999</v>
      </c>
      <c r="AJ174" s="36">
        <f t="shared" si="15"/>
        <v>99.88776079</v>
      </c>
      <c r="AK174" s="36">
        <f t="shared" si="15"/>
        <v>100.49689049999999</v>
      </c>
      <c r="AL174" s="36">
        <f t="shared" si="15"/>
        <v>311.5620710999999</v>
      </c>
      <c r="AM174" s="36">
        <f t="shared" si="15"/>
        <v>117.07919702000001</v>
      </c>
      <c r="AN174" s="36">
        <f t="shared" si="15"/>
        <v>113.98074197</v>
      </c>
      <c r="AO174" s="36">
        <f t="shared" si="15"/>
        <v>123.28513197000001</v>
      </c>
      <c r="AP174" s="36">
        <v>131.40170218999998</v>
      </c>
      <c r="AQ174" s="36">
        <f>SUM(AQ162:AQ173)</f>
        <v>147.24136401</v>
      </c>
      <c r="AR174" s="36">
        <v>183.22706867</v>
      </c>
      <c r="AS174" s="36">
        <f>SUM(AS162:AS173)</f>
        <v>185.53349642</v>
      </c>
      <c r="AT174" s="58">
        <f>SUM(AT162:AT173)</f>
        <v>170.73424070999997</v>
      </c>
      <c r="AU174" s="12"/>
      <c r="BH174" s="12"/>
      <c r="BU174" s="15"/>
      <c r="CH174" s="30"/>
    </row>
    <row r="175" spans="2:85" ht="15">
      <c r="B175" s="4" t="s">
        <v>4</v>
      </c>
      <c r="C175" s="4"/>
      <c r="D175" s="4"/>
      <c r="E175" s="4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12"/>
      <c r="Q175" s="12"/>
      <c r="R175" s="12"/>
      <c r="S175" s="12"/>
      <c r="T175" s="12"/>
      <c r="U175" s="12"/>
      <c r="V175" s="12"/>
      <c r="W175" s="12"/>
      <c r="X175" s="4"/>
      <c r="Y175" s="4" t="s">
        <v>4</v>
      </c>
      <c r="Z175" s="4"/>
      <c r="AA175" s="4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12"/>
      <c r="AN175" s="12"/>
      <c r="AO175" s="12"/>
      <c r="AP175" s="12"/>
      <c r="AQ175" s="12"/>
      <c r="AR175" s="12"/>
      <c r="AS175" s="12"/>
      <c r="AT175" s="12"/>
      <c r="BG175" s="12"/>
      <c r="BT175" s="15"/>
      <c r="CG175" s="30"/>
    </row>
    <row r="176" spans="2:85" ht="15">
      <c r="B176" s="73" t="s">
        <v>5</v>
      </c>
      <c r="C176" s="73"/>
      <c r="D176" s="73"/>
      <c r="E176" s="73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12"/>
      <c r="Q176" s="12"/>
      <c r="R176" s="12"/>
      <c r="S176" s="12"/>
      <c r="T176" s="12"/>
      <c r="U176" s="12"/>
      <c r="V176" s="12"/>
      <c r="W176" s="12"/>
      <c r="X176" s="50"/>
      <c r="Y176" s="50" t="s">
        <v>5</v>
      </c>
      <c r="Z176" s="50"/>
      <c r="AA176" s="50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12"/>
      <c r="AN176" s="12"/>
      <c r="AO176" s="12"/>
      <c r="AP176" s="12"/>
      <c r="AQ176" s="12"/>
      <c r="AR176" s="12"/>
      <c r="AS176" s="12"/>
      <c r="AT176" s="12"/>
      <c r="BG176" s="12"/>
      <c r="BT176" s="15"/>
      <c r="CG176" s="30"/>
    </row>
    <row r="177" spans="2:85" ht="3" customHeight="1">
      <c r="B177" s="2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12"/>
      <c r="Q177" s="12"/>
      <c r="R177" s="12"/>
      <c r="S177" s="12"/>
      <c r="T177" s="12"/>
      <c r="U177" s="12"/>
      <c r="V177" s="12"/>
      <c r="W177" s="12"/>
      <c r="AM177" s="12"/>
      <c r="AN177" s="12"/>
      <c r="AO177" s="12"/>
      <c r="AP177" s="12"/>
      <c r="AQ177" s="12"/>
      <c r="AR177" s="12"/>
      <c r="AS177" s="12"/>
      <c r="AT177" s="12"/>
      <c r="BG177" s="12"/>
      <c r="BT177" s="15"/>
      <c r="CG177" s="30"/>
    </row>
    <row r="178" spans="2:85" ht="23.25" customHeight="1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AM178" s="12"/>
      <c r="AN178" s="12"/>
      <c r="AO178" s="12"/>
      <c r="AP178" s="12"/>
      <c r="AQ178" s="12"/>
      <c r="AR178" s="12"/>
      <c r="AS178" s="12"/>
      <c r="AT178" s="12"/>
      <c r="BG178" s="12"/>
      <c r="BT178" s="15"/>
      <c r="CG178" s="30"/>
    </row>
    <row r="179" spans="2:85" ht="15"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12"/>
      <c r="Q179" s="12"/>
      <c r="R179" s="12"/>
      <c r="S179" s="12"/>
      <c r="T179" s="12"/>
      <c r="U179" s="12"/>
      <c r="V179" s="12"/>
      <c r="W179" s="12"/>
      <c r="AM179" s="12"/>
      <c r="AN179" s="12"/>
      <c r="AO179" s="12"/>
      <c r="AP179" s="12"/>
      <c r="AQ179" s="12"/>
      <c r="AR179" s="12"/>
      <c r="AS179" s="12"/>
      <c r="AT179" s="12"/>
      <c r="BG179" s="12"/>
      <c r="BT179" s="15"/>
      <c r="CG179" s="30"/>
    </row>
    <row r="180" spans="2:85" ht="15.75" customHeight="1">
      <c r="B180" s="75" t="s">
        <v>22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49"/>
      <c r="Y180" s="75" t="s">
        <v>24</v>
      </c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BG180" s="12"/>
      <c r="BT180" s="15"/>
      <c r="CG180" s="30"/>
    </row>
    <row r="181" spans="2:85" ht="15">
      <c r="B181" s="72" t="s">
        <v>39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Y181" s="72" t="s">
        <v>39</v>
      </c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BG181" s="12"/>
      <c r="BT181" s="17"/>
      <c r="CG181" s="30"/>
    </row>
    <row r="182" spans="2:85" ht="15.75" thickBot="1">
      <c r="B182" s="71" t="s">
        <v>1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Y182" s="71" t="s">
        <v>1</v>
      </c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BG182" s="12"/>
      <c r="BT182" s="5"/>
      <c r="CG182" s="30"/>
    </row>
    <row r="183" spans="2:86" ht="33" customHeight="1" thickBot="1">
      <c r="B183" s="33" t="s">
        <v>2</v>
      </c>
      <c r="C183" s="41">
        <v>2003</v>
      </c>
      <c r="D183" s="34">
        <v>2004</v>
      </c>
      <c r="E183" s="34">
        <v>2005</v>
      </c>
      <c r="F183" s="34">
        <v>2006</v>
      </c>
      <c r="G183" s="34">
        <v>2007</v>
      </c>
      <c r="H183" s="34">
        <v>2008</v>
      </c>
      <c r="I183" s="34">
        <v>2009</v>
      </c>
      <c r="J183" s="34">
        <v>2010</v>
      </c>
      <c r="K183" s="34">
        <v>2011</v>
      </c>
      <c r="L183" s="34">
        <v>2012</v>
      </c>
      <c r="M183" s="34">
        <v>2013</v>
      </c>
      <c r="N183" s="34">
        <v>2014</v>
      </c>
      <c r="O183" s="34">
        <v>2015</v>
      </c>
      <c r="P183" s="34">
        <v>2016</v>
      </c>
      <c r="Q183" s="34">
        <v>2017</v>
      </c>
      <c r="R183" s="34">
        <v>2018</v>
      </c>
      <c r="S183" s="34">
        <v>2019</v>
      </c>
      <c r="T183" s="34">
        <v>2020</v>
      </c>
      <c r="U183" s="34">
        <v>2021</v>
      </c>
      <c r="V183" s="34">
        <v>2022</v>
      </c>
      <c r="W183" s="55">
        <v>2023</v>
      </c>
      <c r="X183" s="51"/>
      <c r="Y183" s="33" t="s">
        <v>2</v>
      </c>
      <c r="Z183" s="41">
        <v>2003</v>
      </c>
      <c r="AA183" s="34">
        <v>2004</v>
      </c>
      <c r="AB183" s="34">
        <v>2005</v>
      </c>
      <c r="AC183" s="34">
        <v>2006</v>
      </c>
      <c r="AD183" s="34">
        <v>2007</v>
      </c>
      <c r="AE183" s="34">
        <v>2008</v>
      </c>
      <c r="AF183" s="34">
        <v>2009</v>
      </c>
      <c r="AG183" s="34">
        <v>2010</v>
      </c>
      <c r="AH183" s="34">
        <v>2011</v>
      </c>
      <c r="AI183" s="34">
        <v>2012</v>
      </c>
      <c r="AJ183" s="34">
        <v>2013</v>
      </c>
      <c r="AK183" s="34">
        <v>2014</v>
      </c>
      <c r="AL183" s="34">
        <v>2015</v>
      </c>
      <c r="AM183" s="34">
        <v>2016</v>
      </c>
      <c r="AN183" s="34">
        <v>2017</v>
      </c>
      <c r="AO183" s="34">
        <v>2018</v>
      </c>
      <c r="AP183" s="34">
        <v>2019</v>
      </c>
      <c r="AQ183" s="34">
        <v>2020</v>
      </c>
      <c r="AR183" s="34">
        <v>2021</v>
      </c>
      <c r="AS183" s="34">
        <v>2022</v>
      </c>
      <c r="AT183" s="55">
        <v>2023</v>
      </c>
      <c r="AU183" s="8"/>
      <c r="BH183" s="8"/>
      <c r="BU183" s="6"/>
      <c r="CH183" s="23"/>
    </row>
    <row r="184" spans="2:86" ht="4.5" customHeight="1"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56"/>
      <c r="X184" s="8"/>
      <c r="Y184" s="46"/>
      <c r="Z184" s="47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56"/>
      <c r="AU184" s="8"/>
      <c r="BH184" s="8"/>
      <c r="BU184" s="6"/>
      <c r="CH184" s="23"/>
    </row>
    <row r="185" spans="2:86" ht="15">
      <c r="B185" s="37" t="s">
        <v>27</v>
      </c>
      <c r="C185" s="60">
        <f>7.52117401-Z208</f>
        <v>0.7310512400000002</v>
      </c>
      <c r="D185" s="39">
        <f>7.24122506-AA208</f>
        <v>0.2821499499999991</v>
      </c>
      <c r="E185" s="39">
        <f>6.86509945-AB208</f>
        <v>0.10924007000000024</v>
      </c>
      <c r="F185" s="39">
        <f>6.66149659-AC208</f>
        <v>0.056261909999999915</v>
      </c>
      <c r="G185" s="39">
        <f>7.05176535-AD208</f>
        <v>0.09115715999999985</v>
      </c>
      <c r="H185" s="39">
        <v>0.36274225</v>
      </c>
      <c r="I185" s="39">
        <v>0.27550401</v>
      </c>
      <c r="J185" s="39">
        <v>0.35307937</v>
      </c>
      <c r="K185" s="39">
        <v>0.21621546999999997</v>
      </c>
      <c r="L185" s="39">
        <v>0.1687289</v>
      </c>
      <c r="M185" s="39">
        <v>0.26351193</v>
      </c>
      <c r="N185" s="39">
        <v>0.28703237</v>
      </c>
      <c r="O185" s="39">
        <v>0.23346441999999998</v>
      </c>
      <c r="P185" s="39">
        <v>0.4484407</v>
      </c>
      <c r="Q185" s="39">
        <v>0.51262558</v>
      </c>
      <c r="R185" s="39">
        <v>0.5533175199999999</v>
      </c>
      <c r="S185" s="39">
        <v>0.5514841699999999</v>
      </c>
      <c r="T185" s="39">
        <v>0.64618677</v>
      </c>
      <c r="U185" s="39">
        <v>0.64378989</v>
      </c>
      <c r="V185" s="39">
        <v>0.96536556</v>
      </c>
      <c r="W185" s="59">
        <v>0.7185074600000001</v>
      </c>
      <c r="X185" s="8"/>
      <c r="Y185" s="37" t="s">
        <v>27</v>
      </c>
      <c r="Z185" s="60">
        <v>0.05724592</v>
      </c>
      <c r="AA185" s="39">
        <v>0.042955480000000004</v>
      </c>
      <c r="AB185" s="39">
        <v>0.00013702</v>
      </c>
      <c r="AC185" s="39">
        <v>0</v>
      </c>
      <c r="AD185" s="39">
        <v>41.372624970000004</v>
      </c>
      <c r="AE185" s="39">
        <v>7.37527637</v>
      </c>
      <c r="AF185" s="39">
        <v>1.78956268</v>
      </c>
      <c r="AG185" s="39">
        <v>0.40733590000000003</v>
      </c>
      <c r="AH185" s="39">
        <v>5.9870969800000005</v>
      </c>
      <c r="AI185" s="39">
        <v>14.06151315</v>
      </c>
      <c r="AJ185" s="39">
        <v>4.35199892</v>
      </c>
      <c r="AK185" s="39">
        <v>13.544442179999999</v>
      </c>
      <c r="AL185" s="39">
        <v>35.90667447</v>
      </c>
      <c r="AM185" s="39">
        <v>40.49468473</v>
      </c>
      <c r="AN185" s="39">
        <v>26.69201178</v>
      </c>
      <c r="AO185" s="39">
        <v>29.636712850000002</v>
      </c>
      <c r="AP185" s="39">
        <v>21.704396210000002</v>
      </c>
      <c r="AQ185" s="39">
        <v>35.37647068</v>
      </c>
      <c r="AR185" s="39">
        <v>14.45189559</v>
      </c>
      <c r="AS185" s="39">
        <v>35.99452862</v>
      </c>
      <c r="AT185" s="59">
        <v>30.466963</v>
      </c>
      <c r="AU185" s="8"/>
      <c r="AV185" s="25"/>
      <c r="AW185" s="25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8"/>
      <c r="BI185" s="25"/>
      <c r="BJ185" s="25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23"/>
    </row>
    <row r="186" spans="2:86" ht="15">
      <c r="B186" s="37" t="s">
        <v>28</v>
      </c>
      <c r="C186" s="60">
        <f>7.2573686-Z209</f>
        <v>0.4223457600000007</v>
      </c>
      <c r="D186" s="39">
        <f>6.35977126-AA209</f>
        <v>0.22770407999999964</v>
      </c>
      <c r="E186" s="39">
        <f>7.21379642-AB209</f>
        <v>0.11144324000000072</v>
      </c>
      <c r="F186" s="39">
        <f>7.54484273-AC209</f>
        <v>0.26080974999999995</v>
      </c>
      <c r="G186" s="39">
        <f>8.8039938-AD209</f>
        <v>0.1784868900000003</v>
      </c>
      <c r="H186" s="39">
        <v>0.39806774</v>
      </c>
      <c r="I186" s="39">
        <v>0.30673917</v>
      </c>
      <c r="J186" s="39">
        <v>0.29874802</v>
      </c>
      <c r="K186" s="39">
        <v>0.29188854</v>
      </c>
      <c r="L186" s="39">
        <v>0.32348035</v>
      </c>
      <c r="M186" s="39">
        <v>0.26937772</v>
      </c>
      <c r="N186" s="39">
        <v>0.32163508999999996</v>
      </c>
      <c r="O186" s="39">
        <v>0.37432486</v>
      </c>
      <c r="P186" s="39">
        <v>0.43587701</v>
      </c>
      <c r="Q186" s="39">
        <v>0.51761921</v>
      </c>
      <c r="R186" s="39">
        <v>0.54796751</v>
      </c>
      <c r="S186" s="39">
        <v>0.57259971</v>
      </c>
      <c r="T186" s="39">
        <v>0.6130677099999999</v>
      </c>
      <c r="U186" s="39">
        <v>0.63572592</v>
      </c>
      <c r="V186" s="39">
        <v>0.7904618200000001</v>
      </c>
      <c r="W186" s="59">
        <v>0.7951544</v>
      </c>
      <c r="X186" s="8"/>
      <c r="Y186" s="37" t="s">
        <v>28</v>
      </c>
      <c r="Z186" s="60">
        <v>4.0083847200000005</v>
      </c>
      <c r="AA186" s="39">
        <v>8.24335238</v>
      </c>
      <c r="AB186" s="39">
        <v>41.96402965</v>
      </c>
      <c r="AC186" s="39">
        <v>45.43747192</v>
      </c>
      <c r="AD186" s="39">
        <v>36.57108968</v>
      </c>
      <c r="AE186" s="39">
        <v>94.78489776</v>
      </c>
      <c r="AF186" s="39">
        <v>1.05135414</v>
      </c>
      <c r="AG186" s="39">
        <v>68.56799951</v>
      </c>
      <c r="AH186" s="39">
        <v>85.84759494</v>
      </c>
      <c r="AI186" s="39">
        <v>135.29406366999999</v>
      </c>
      <c r="AJ186" s="39">
        <v>95.33633556999999</v>
      </c>
      <c r="AK186" s="39">
        <v>43.302916159999995</v>
      </c>
      <c r="AL186" s="39">
        <v>17.30390057</v>
      </c>
      <c r="AM186" s="39">
        <v>5.170050730000001</v>
      </c>
      <c r="AN186" s="39">
        <v>17.26459568</v>
      </c>
      <c r="AO186" s="39">
        <v>31.57872907</v>
      </c>
      <c r="AP186" s="39">
        <v>6.99123096</v>
      </c>
      <c r="AQ186" s="39">
        <v>33.40602664</v>
      </c>
      <c r="AR186" s="39">
        <v>7.93010251</v>
      </c>
      <c r="AS186" s="39">
        <v>18.964136940000003</v>
      </c>
      <c r="AT186" s="59">
        <v>12.62266432</v>
      </c>
      <c r="AU186" s="8"/>
      <c r="AV186" s="25"/>
      <c r="AW186" s="25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8"/>
      <c r="BI186" s="25"/>
      <c r="BJ186" s="25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23"/>
    </row>
    <row r="187" spans="2:46" ht="15">
      <c r="B187" s="37" t="s">
        <v>29</v>
      </c>
      <c r="C187" s="60">
        <f>7.01983302-Z210</f>
        <v>0.32546044999999957</v>
      </c>
      <c r="D187" s="39">
        <f>6.5097409-AA210</f>
        <v>0.38033939999999955</v>
      </c>
      <c r="E187" s="39">
        <f>7.00859498-AB210</f>
        <v>0.19285447000000033</v>
      </c>
      <c r="F187" s="39">
        <f>7.86625665-AC210</f>
        <v>0.07196031000000058</v>
      </c>
      <c r="G187" s="39">
        <f>8.9397596-AD210</f>
        <v>0.08946675000000148</v>
      </c>
      <c r="H187" s="39">
        <v>0.32282195</v>
      </c>
      <c r="I187" s="39">
        <v>0.26594075</v>
      </c>
      <c r="J187" s="39">
        <v>0.32687235000000003</v>
      </c>
      <c r="K187" s="39">
        <v>0.60186761</v>
      </c>
      <c r="L187" s="39">
        <v>0.26941918</v>
      </c>
      <c r="M187" s="39">
        <v>0.31567492</v>
      </c>
      <c r="N187" s="39">
        <v>0.37877376</v>
      </c>
      <c r="O187" s="39">
        <v>0.27325568</v>
      </c>
      <c r="P187" s="39">
        <v>0.48594801</v>
      </c>
      <c r="Q187" s="39">
        <v>0.50444157</v>
      </c>
      <c r="R187" s="39">
        <v>0.5945336899999999</v>
      </c>
      <c r="S187" s="39">
        <v>0.53535196</v>
      </c>
      <c r="T187" s="39">
        <v>0.53749002</v>
      </c>
      <c r="U187" s="39">
        <v>0.6850476999999999</v>
      </c>
      <c r="V187" s="39">
        <v>0.77730432</v>
      </c>
      <c r="W187" s="59">
        <v>0.76829637</v>
      </c>
      <c r="Y187" s="37" t="s">
        <v>29</v>
      </c>
      <c r="Z187" s="60">
        <v>25.99646929</v>
      </c>
      <c r="AA187" s="39">
        <v>70.84083346</v>
      </c>
      <c r="AB187" s="39">
        <v>28.96252533</v>
      </c>
      <c r="AC187" s="39">
        <v>56.90277591</v>
      </c>
      <c r="AD187" s="39">
        <v>35.83524248</v>
      </c>
      <c r="AE187" s="39">
        <v>88.81885682000001</v>
      </c>
      <c r="AF187" s="39">
        <v>7.94164586</v>
      </c>
      <c r="AG187" s="39">
        <v>60.01418028</v>
      </c>
      <c r="AH187" s="39">
        <v>152.75548845000003</v>
      </c>
      <c r="AI187" s="39">
        <v>92.0845786</v>
      </c>
      <c r="AJ187" s="39">
        <v>155.89222726</v>
      </c>
      <c r="AK187" s="39">
        <v>64.03041127</v>
      </c>
      <c r="AL187" s="39">
        <v>2.18848407</v>
      </c>
      <c r="AM187" s="39">
        <v>1.2386948899999999</v>
      </c>
      <c r="AN187" s="39">
        <v>23.28743694</v>
      </c>
      <c r="AO187" s="39">
        <v>20.08931933</v>
      </c>
      <c r="AP187" s="39">
        <v>3.01476346</v>
      </c>
      <c r="AQ187" s="39">
        <v>5.08422178</v>
      </c>
      <c r="AR187" s="39">
        <v>19.905506239999998</v>
      </c>
      <c r="AS187" s="39">
        <v>16.91354273</v>
      </c>
      <c r="AT187" s="59">
        <v>6.067541240000001</v>
      </c>
    </row>
    <row r="188" spans="2:46" ht="15">
      <c r="B188" s="37" t="s">
        <v>30</v>
      </c>
      <c r="C188" s="60">
        <f>7.90760936-Z211</f>
        <v>0.4740003699999997</v>
      </c>
      <c r="D188" s="39">
        <f>9.28845854-AA211</f>
        <v>0.31280813999999957</v>
      </c>
      <c r="E188" s="39">
        <f>7.69801806-AB211</f>
        <v>0.1001599999999998</v>
      </c>
      <c r="F188" s="39">
        <f>10.05434327-AC211</f>
        <v>0.09144751000000007</v>
      </c>
      <c r="G188" s="39">
        <f>10.97912376-AD211</f>
        <v>0.054617730000000364</v>
      </c>
      <c r="H188" s="39">
        <v>0.38124526000000003</v>
      </c>
      <c r="I188" s="39">
        <v>0.37274338</v>
      </c>
      <c r="J188" s="39">
        <v>0.24497994</v>
      </c>
      <c r="K188" s="39">
        <v>0.23636651</v>
      </c>
      <c r="L188" s="39">
        <v>0.20336386</v>
      </c>
      <c r="M188" s="39">
        <v>0.32855812</v>
      </c>
      <c r="N188" s="39">
        <v>0.35839257</v>
      </c>
      <c r="O188" s="39">
        <v>0.45830341999999996</v>
      </c>
      <c r="P188" s="39">
        <v>0.47683398</v>
      </c>
      <c r="Q188" s="39">
        <v>0.51816798</v>
      </c>
      <c r="R188" s="39">
        <v>0.5901516099999999</v>
      </c>
      <c r="S188" s="39">
        <v>0.56839661</v>
      </c>
      <c r="T188" s="39">
        <v>0.63801014</v>
      </c>
      <c r="U188" s="39">
        <v>0.66143511</v>
      </c>
      <c r="V188" s="39">
        <v>0.74703713</v>
      </c>
      <c r="W188" s="59">
        <v>0.75033591</v>
      </c>
      <c r="Y188" s="37" t="s">
        <v>30</v>
      </c>
      <c r="Z188" s="60">
        <v>44.74794106</v>
      </c>
      <c r="AA188" s="39">
        <v>6.85438705</v>
      </c>
      <c r="AB188" s="39">
        <v>37.76761505</v>
      </c>
      <c r="AC188" s="39">
        <v>16.872795860000004</v>
      </c>
      <c r="AD188" s="39">
        <v>7.27417769</v>
      </c>
      <c r="AE188" s="39">
        <v>91.72124568</v>
      </c>
      <c r="AF188" s="39">
        <v>3.06063547</v>
      </c>
      <c r="AG188" s="39">
        <v>12.23901744</v>
      </c>
      <c r="AH188" s="39">
        <v>21.49672958</v>
      </c>
      <c r="AI188" s="39">
        <v>21.61348618</v>
      </c>
      <c r="AJ188" s="39">
        <v>16.224082539999998</v>
      </c>
      <c r="AK188" s="39">
        <v>71.27728379999999</v>
      </c>
      <c r="AL188" s="39">
        <v>2.73458261</v>
      </c>
      <c r="AM188" s="39">
        <v>0.08404585</v>
      </c>
      <c r="AN188" s="39">
        <v>22.51896888</v>
      </c>
      <c r="AO188" s="39">
        <v>22.59748164</v>
      </c>
      <c r="AP188" s="39">
        <v>0.81102164</v>
      </c>
      <c r="AQ188" s="39">
        <v>19.30634036</v>
      </c>
      <c r="AR188" s="39">
        <v>0.7146333</v>
      </c>
      <c r="AS188" s="39">
        <v>1.02489066</v>
      </c>
      <c r="AT188" s="59">
        <v>1.3396404</v>
      </c>
    </row>
    <row r="189" spans="2:46" ht="15">
      <c r="B189" s="37" t="s">
        <v>31</v>
      </c>
      <c r="C189" s="60">
        <f>7.89238271-Z212</f>
        <v>0.3749881100000003</v>
      </c>
      <c r="D189" s="39">
        <f>7.27809181-AA212</f>
        <v>0.2711890600000002</v>
      </c>
      <c r="E189" s="39">
        <f>7.81732003-AB212</f>
        <v>0.07703395000000057</v>
      </c>
      <c r="F189" s="39">
        <f>7.67166398-AC212</f>
        <v>0.18516636999999925</v>
      </c>
      <c r="G189" s="39">
        <f>9.81652893-AD212</f>
        <v>0.10605169000000103</v>
      </c>
      <c r="H189" s="39">
        <v>0.41415715000000003</v>
      </c>
      <c r="I189" s="39">
        <v>0.23953992000000002</v>
      </c>
      <c r="J189" s="39">
        <v>0.33791383</v>
      </c>
      <c r="K189" s="39">
        <v>0.26036212</v>
      </c>
      <c r="L189" s="39">
        <v>0.23794226000000002</v>
      </c>
      <c r="M189" s="39">
        <v>0.31921472</v>
      </c>
      <c r="N189" s="39">
        <v>0.37192956</v>
      </c>
      <c r="O189" s="39">
        <v>0.3840473</v>
      </c>
      <c r="P189" s="39">
        <v>0.46976409999999996</v>
      </c>
      <c r="Q189" s="39">
        <v>0.5273357399999999</v>
      </c>
      <c r="R189" s="39">
        <v>0.5639294499999999</v>
      </c>
      <c r="S189" s="39">
        <v>0.56650324</v>
      </c>
      <c r="T189" s="39">
        <v>0.63013127</v>
      </c>
      <c r="U189" s="39">
        <v>0.6772142099999999</v>
      </c>
      <c r="V189" s="39">
        <v>0.8226071000000001</v>
      </c>
      <c r="W189" s="59">
        <v>0.78740483</v>
      </c>
      <c r="Y189" s="37" t="s">
        <v>31</v>
      </c>
      <c r="Z189" s="60">
        <v>48.587627659999995</v>
      </c>
      <c r="AA189" s="39">
        <v>38.690563600000004</v>
      </c>
      <c r="AB189" s="39">
        <v>39.23495253</v>
      </c>
      <c r="AC189" s="39">
        <v>134.39437669</v>
      </c>
      <c r="AD189" s="39">
        <v>44.38416126999999</v>
      </c>
      <c r="AE189" s="39">
        <v>99.16805975</v>
      </c>
      <c r="AF189" s="39">
        <v>12.03348183</v>
      </c>
      <c r="AG189" s="39">
        <v>112.89236589</v>
      </c>
      <c r="AH189" s="39">
        <v>100.07855185</v>
      </c>
      <c r="AI189" s="39">
        <v>72.23514836999999</v>
      </c>
      <c r="AJ189" s="39">
        <v>171.43342065000002</v>
      </c>
      <c r="AK189" s="39">
        <v>61.14821776000001</v>
      </c>
      <c r="AL189" s="39">
        <v>5.796693230000001</v>
      </c>
      <c r="AM189" s="39">
        <v>2.9742211800000002</v>
      </c>
      <c r="AN189" s="39">
        <v>17.953348039999998</v>
      </c>
      <c r="AO189" s="39">
        <v>4.78463014</v>
      </c>
      <c r="AP189" s="39">
        <v>27.183408059999998</v>
      </c>
      <c r="AQ189" s="39">
        <v>8.75796348</v>
      </c>
      <c r="AR189" s="39">
        <v>22.84384777</v>
      </c>
      <c r="AS189" s="39">
        <v>44.93645946</v>
      </c>
      <c r="AT189" s="59">
        <v>8.843370029999999</v>
      </c>
    </row>
    <row r="190" spans="2:46" ht="15">
      <c r="B190" s="37" t="s">
        <v>32</v>
      </c>
      <c r="C190" s="60">
        <f>8.86143744-Z213</f>
        <v>1.06513026</v>
      </c>
      <c r="D190" s="39">
        <f>8.25255143-AA213</f>
        <v>0.4140585200000002</v>
      </c>
      <c r="E190" s="39">
        <f>8.48835031-AB213</f>
        <v>0.12067839000000014</v>
      </c>
      <c r="F190" s="39">
        <f>10.07346836-AC213</f>
        <v>0.1393320599999992</v>
      </c>
      <c r="G190" s="39">
        <f>10.56629862-AD213</f>
        <v>0.1063943700000003</v>
      </c>
      <c r="H190" s="39">
        <v>0.40987756</v>
      </c>
      <c r="I190" s="39">
        <v>0.31151957</v>
      </c>
      <c r="J190" s="39">
        <v>0.37651249</v>
      </c>
      <c r="K190" s="39">
        <v>0.30665787</v>
      </c>
      <c r="L190" s="39">
        <v>0.38268916999999997</v>
      </c>
      <c r="M190" s="39">
        <v>0.28441529</v>
      </c>
      <c r="N190" s="39">
        <v>0.29385577</v>
      </c>
      <c r="O190" s="39">
        <v>0.26607194</v>
      </c>
      <c r="P190" s="39">
        <v>0.4563645</v>
      </c>
      <c r="Q190" s="39">
        <v>0.51762107</v>
      </c>
      <c r="R190" s="39">
        <v>0.5442785</v>
      </c>
      <c r="S190" s="39">
        <v>0.6118203799999999</v>
      </c>
      <c r="T190" s="39">
        <v>0.6084842</v>
      </c>
      <c r="U190" s="39">
        <v>0.6555814499999999</v>
      </c>
      <c r="V190" s="39">
        <v>0.8838298899999999</v>
      </c>
      <c r="W190" s="59">
        <v>0.76797222</v>
      </c>
      <c r="Y190" s="37" t="s">
        <v>32</v>
      </c>
      <c r="Z190" s="60">
        <v>43.29030178</v>
      </c>
      <c r="AA190" s="39">
        <v>38.20826054</v>
      </c>
      <c r="AB190" s="39">
        <v>46.14434274</v>
      </c>
      <c r="AC190" s="39">
        <v>8.53934115</v>
      </c>
      <c r="AD190" s="39">
        <v>60.44312438000001</v>
      </c>
      <c r="AE190" s="39">
        <v>21.54426527</v>
      </c>
      <c r="AF190" s="39">
        <v>66.49400164000001</v>
      </c>
      <c r="AG190" s="39">
        <v>70.66168377</v>
      </c>
      <c r="AH190" s="39">
        <v>104.65238203999999</v>
      </c>
      <c r="AI190" s="39">
        <v>240.5368297</v>
      </c>
      <c r="AJ190" s="39">
        <v>15.59524727</v>
      </c>
      <c r="AK190" s="39">
        <v>45.8211034</v>
      </c>
      <c r="AL190" s="39">
        <v>40.379937829999996</v>
      </c>
      <c r="AM190" s="39">
        <v>3.39953814</v>
      </c>
      <c r="AN190" s="39">
        <v>15.02049742</v>
      </c>
      <c r="AO190" s="39">
        <v>42.17648801000001</v>
      </c>
      <c r="AP190" s="39">
        <v>32.520271460000004</v>
      </c>
      <c r="AQ190" s="39">
        <v>0.35429130999999997</v>
      </c>
      <c r="AR190" s="39">
        <v>16.420976959999997</v>
      </c>
      <c r="AS190" s="39">
        <v>39.87184248</v>
      </c>
      <c r="AT190" s="59">
        <v>0.17231245</v>
      </c>
    </row>
    <row r="191" spans="2:46" ht="15">
      <c r="B191" s="37" t="s">
        <v>33</v>
      </c>
      <c r="C191" s="60">
        <f>8.8510537-Z214</f>
        <v>0.2712336200000003</v>
      </c>
      <c r="D191" s="39">
        <f>8.77646266-AA214</f>
        <v>0.31767299000000015</v>
      </c>
      <c r="E191" s="39">
        <f>9.50215118-AB214</f>
        <v>0.14106697999999973</v>
      </c>
      <c r="F191" s="39">
        <f>10.00116191-AC214</f>
        <v>0.17311177999999927</v>
      </c>
      <c r="G191" s="39">
        <f>10.40431008-AD214</f>
        <v>0.14440517000000064</v>
      </c>
      <c r="H191" s="39">
        <v>0.33476739</v>
      </c>
      <c r="I191" s="39">
        <v>0.32641241000000004</v>
      </c>
      <c r="J191" s="39">
        <v>0.29891652</v>
      </c>
      <c r="K191" s="39">
        <v>0.22324567</v>
      </c>
      <c r="L191" s="39">
        <v>0.29223082999999994</v>
      </c>
      <c r="M191" s="39">
        <v>0.28523576</v>
      </c>
      <c r="N191" s="39">
        <v>0.42740165</v>
      </c>
      <c r="O191" s="39">
        <v>0.30572318</v>
      </c>
      <c r="P191" s="39">
        <v>0.47724011</v>
      </c>
      <c r="Q191" s="39">
        <v>0.5265788</v>
      </c>
      <c r="R191" s="39">
        <v>0.53813358</v>
      </c>
      <c r="S191" s="39">
        <v>0.6208861999999999</v>
      </c>
      <c r="T191" s="39">
        <v>0.61663724</v>
      </c>
      <c r="U191" s="39">
        <v>0.6976441000000001</v>
      </c>
      <c r="V191" s="39">
        <v>0.7616768199999999</v>
      </c>
      <c r="W191" s="59">
        <v>0.98868816</v>
      </c>
      <c r="Y191" s="37" t="s">
        <v>33</v>
      </c>
      <c r="Z191" s="60">
        <v>37.58920802</v>
      </c>
      <c r="AA191" s="39">
        <v>39.39518584</v>
      </c>
      <c r="AB191" s="39">
        <v>49.07392834</v>
      </c>
      <c r="AC191" s="39">
        <v>132.10815169</v>
      </c>
      <c r="AD191" s="39">
        <v>124.57114672</v>
      </c>
      <c r="AE191" s="39">
        <v>255.21547561</v>
      </c>
      <c r="AF191" s="39">
        <v>71.40592328</v>
      </c>
      <c r="AG191" s="39">
        <v>15.88888304</v>
      </c>
      <c r="AH191" s="39">
        <v>117.80629146000001</v>
      </c>
      <c r="AI191" s="39">
        <v>16.00365777</v>
      </c>
      <c r="AJ191" s="39">
        <v>67.91315845</v>
      </c>
      <c r="AK191" s="39">
        <v>56.15082267</v>
      </c>
      <c r="AL191" s="39">
        <v>33.086446009999996</v>
      </c>
      <c r="AM191" s="39">
        <v>3.46074145</v>
      </c>
      <c r="AN191" s="39">
        <v>15.37669295</v>
      </c>
      <c r="AO191" s="39">
        <v>32.3236836</v>
      </c>
      <c r="AP191" s="39">
        <v>28.26856788</v>
      </c>
      <c r="AQ191" s="39">
        <v>0.14398712</v>
      </c>
      <c r="AR191" s="39">
        <v>18.82919733</v>
      </c>
      <c r="AS191" s="39">
        <v>63.41281901</v>
      </c>
      <c r="AT191" s="59">
        <v>5.82544334</v>
      </c>
    </row>
    <row r="192" spans="2:46" ht="15">
      <c r="B192" s="37" t="s">
        <v>34</v>
      </c>
      <c r="C192" s="60">
        <f>8.3595812-Z215</f>
        <v>0.3022558499999999</v>
      </c>
      <c r="D192" s="39">
        <f>7.9264746-AA215</f>
        <v>0.41837202999999956</v>
      </c>
      <c r="E192" s="39">
        <f>9.00050457-AB215</f>
        <v>0.09372813000000058</v>
      </c>
      <c r="F192" s="39">
        <f>8.76732063-AC215</f>
        <v>0.19366081999999984</v>
      </c>
      <c r="G192" s="39">
        <f>11.1797521-AD215</f>
        <v>0.08000695999999863</v>
      </c>
      <c r="H192" s="39">
        <v>0.27887715</v>
      </c>
      <c r="I192" s="39">
        <v>0.24592383</v>
      </c>
      <c r="J192" s="39">
        <v>0.34170414</v>
      </c>
      <c r="K192" s="39">
        <v>0.3341845</v>
      </c>
      <c r="L192" s="39">
        <v>0.34789536</v>
      </c>
      <c r="M192" s="39">
        <v>0.5675105</v>
      </c>
      <c r="N192" s="39">
        <v>0.35970768</v>
      </c>
      <c r="O192" s="39">
        <v>0.43692385</v>
      </c>
      <c r="P192" s="39">
        <v>0.45291437</v>
      </c>
      <c r="Q192" s="39">
        <v>0.80803836</v>
      </c>
      <c r="R192" s="39">
        <v>0.53459145</v>
      </c>
      <c r="S192" s="39">
        <v>0.6426035600000001</v>
      </c>
      <c r="T192" s="39">
        <v>0.61126839</v>
      </c>
      <c r="U192" s="39">
        <v>0.6703969800000001</v>
      </c>
      <c r="V192" s="39">
        <v>0.7719042200000001</v>
      </c>
      <c r="W192" s="59">
        <v>1.16406775</v>
      </c>
      <c r="Y192" s="37" t="s">
        <v>34</v>
      </c>
      <c r="Z192" s="60">
        <v>73.63644361</v>
      </c>
      <c r="AA192" s="39">
        <v>42.89705239</v>
      </c>
      <c r="AB192" s="39">
        <v>10.099019890000001</v>
      </c>
      <c r="AC192" s="39">
        <v>16.78101924</v>
      </c>
      <c r="AD192" s="39">
        <v>66.18612932</v>
      </c>
      <c r="AE192" s="39">
        <v>32.46403676</v>
      </c>
      <c r="AF192" s="39">
        <v>14.176851390000001</v>
      </c>
      <c r="AG192" s="39">
        <v>62.395177700000005</v>
      </c>
      <c r="AH192" s="39">
        <v>88.33751982999999</v>
      </c>
      <c r="AI192" s="39">
        <v>125.35051044</v>
      </c>
      <c r="AJ192" s="39">
        <v>73.40841639</v>
      </c>
      <c r="AK192" s="39">
        <v>54.41641707</v>
      </c>
      <c r="AL192" s="39">
        <v>36.35051311</v>
      </c>
      <c r="AM192" s="39">
        <v>49.071311709999996</v>
      </c>
      <c r="AN192" s="39">
        <v>5.9731203399999995</v>
      </c>
      <c r="AO192" s="39">
        <v>24.805074299999998</v>
      </c>
      <c r="AP192" s="39">
        <v>13.756542969999998</v>
      </c>
      <c r="AQ192" s="39">
        <v>0.51098409</v>
      </c>
      <c r="AR192" s="39">
        <v>23.200812759999998</v>
      </c>
      <c r="AS192" s="39">
        <v>41.79133206</v>
      </c>
      <c r="AT192" s="59">
        <v>6.3646025999999996</v>
      </c>
    </row>
    <row r="193" spans="2:46" ht="15">
      <c r="B193" s="37" t="s">
        <v>35</v>
      </c>
      <c r="C193" s="60">
        <f>8.0128889-Z216</f>
        <v>0.27995807000000017</v>
      </c>
      <c r="D193" s="39">
        <f>8.63491231-AA216</f>
        <v>0.7316739600000011</v>
      </c>
      <c r="E193" s="39">
        <f>8.92823935-AB216</f>
        <v>0.10085215000000147</v>
      </c>
      <c r="F193" s="39">
        <f>9.85931801-AC216</f>
        <v>0.1575614699999992</v>
      </c>
      <c r="G193" s="39">
        <f>10.04516981-AD216</f>
        <v>0.2279160099999995</v>
      </c>
      <c r="H193" s="39">
        <v>0.47315008</v>
      </c>
      <c r="I193" s="39">
        <v>0.25770366</v>
      </c>
      <c r="J193" s="39">
        <v>0.27912332</v>
      </c>
      <c r="K193" s="39">
        <v>0.26767210999999996</v>
      </c>
      <c r="L193" s="39">
        <v>0.26967362</v>
      </c>
      <c r="M193" s="39">
        <v>0.25342993999999996</v>
      </c>
      <c r="N193" s="39">
        <v>0.27634320999999995</v>
      </c>
      <c r="O193" s="39">
        <v>0.39436759</v>
      </c>
      <c r="P193" s="39">
        <v>0.46388865</v>
      </c>
      <c r="Q193" s="39">
        <v>1.4559773800000002</v>
      </c>
      <c r="R193" s="39">
        <v>0.5725085</v>
      </c>
      <c r="S193" s="39">
        <v>0.60612838</v>
      </c>
      <c r="T193" s="39">
        <v>0.63696225</v>
      </c>
      <c r="U193" s="39">
        <v>0.7295412099999999</v>
      </c>
      <c r="V193" s="39">
        <v>0.74433459</v>
      </c>
      <c r="W193" s="59">
        <v>1.01651063</v>
      </c>
      <c r="Y193" s="37" t="s">
        <v>35</v>
      </c>
      <c r="Z193" s="60">
        <v>45.6630864</v>
      </c>
      <c r="AA193" s="39">
        <v>45.56887674</v>
      </c>
      <c r="AB193" s="39">
        <v>103.27211224000001</v>
      </c>
      <c r="AC193" s="39">
        <v>55.70728796</v>
      </c>
      <c r="AD193" s="39">
        <v>14.996415090000003</v>
      </c>
      <c r="AE193" s="39">
        <v>149.30125313</v>
      </c>
      <c r="AF193" s="39">
        <v>73.03397712</v>
      </c>
      <c r="AG193" s="39">
        <v>46.70730616</v>
      </c>
      <c r="AH193" s="39">
        <v>113.34213011</v>
      </c>
      <c r="AI193" s="39">
        <v>59.12853315</v>
      </c>
      <c r="AJ193" s="39">
        <v>13.94885976</v>
      </c>
      <c r="AK193" s="39">
        <v>76.14020867</v>
      </c>
      <c r="AL193" s="39">
        <v>19.34101668</v>
      </c>
      <c r="AM193" s="39">
        <v>13.58643623</v>
      </c>
      <c r="AN193" s="39">
        <v>12.635517210000001</v>
      </c>
      <c r="AO193" s="39">
        <v>26.79971184</v>
      </c>
      <c r="AP193" s="39">
        <v>4.942392270000001</v>
      </c>
      <c r="AQ193" s="39">
        <v>2.78048956</v>
      </c>
      <c r="AR193" s="39">
        <v>14.155288709999999</v>
      </c>
      <c r="AS193" s="39">
        <v>29.572623370000002</v>
      </c>
      <c r="AT193" s="59">
        <v>2.75436981</v>
      </c>
    </row>
    <row r="194" spans="2:46" ht="15">
      <c r="B194" s="37" t="s">
        <v>36</v>
      </c>
      <c r="C194" s="60">
        <f>8.75314975-Z217</f>
        <v>0.36337658999999967</v>
      </c>
      <c r="D194" s="39">
        <f>7.84980327-AA217</f>
        <v>0.4230602799999996</v>
      </c>
      <c r="E194" s="39">
        <f>9.89944055-AB217</f>
        <v>0.08971004999999899</v>
      </c>
      <c r="F194" s="39">
        <f>10.58747131-AC217</f>
        <v>0.21293570000000095</v>
      </c>
      <c r="G194" s="39">
        <f>10.50135672-AD217</f>
        <v>0.0801334899999997</v>
      </c>
      <c r="H194" s="39">
        <v>0.6467123100000001</v>
      </c>
      <c r="I194" s="39">
        <v>0.2852032</v>
      </c>
      <c r="J194" s="39">
        <v>0.16118794</v>
      </c>
      <c r="K194" s="39">
        <v>0.22458934000000003</v>
      </c>
      <c r="L194" s="39">
        <v>0.23271423</v>
      </c>
      <c r="M194" s="39">
        <v>0.37343282</v>
      </c>
      <c r="N194" s="39">
        <v>0.32519741999999996</v>
      </c>
      <c r="O194" s="39">
        <v>0.39200108999999994</v>
      </c>
      <c r="P194" s="39">
        <v>0.51939695</v>
      </c>
      <c r="Q194" s="39">
        <v>0.52242419</v>
      </c>
      <c r="R194" s="39">
        <v>0.56830649</v>
      </c>
      <c r="S194" s="39">
        <v>0.6280724099999999</v>
      </c>
      <c r="T194" s="39">
        <v>0.67679027</v>
      </c>
      <c r="U194" s="39">
        <v>0.79341123</v>
      </c>
      <c r="V194" s="39">
        <v>0.74767044</v>
      </c>
      <c r="W194" s="59">
        <v>0.7675496599999994</v>
      </c>
      <c r="Y194" s="37" t="s">
        <v>36</v>
      </c>
      <c r="Z194" s="60">
        <v>51.63872225</v>
      </c>
      <c r="AA194" s="39">
        <v>39.19421517</v>
      </c>
      <c r="AB194" s="39">
        <v>52.30849605</v>
      </c>
      <c r="AC194" s="39">
        <v>53.544237790000004</v>
      </c>
      <c r="AD194" s="39">
        <v>77.8409924</v>
      </c>
      <c r="AE194" s="39">
        <v>172.2408415</v>
      </c>
      <c r="AF194" s="39">
        <v>108.15558488999999</v>
      </c>
      <c r="AG194" s="39">
        <v>5.02179744</v>
      </c>
      <c r="AH194" s="39">
        <v>95.47297963</v>
      </c>
      <c r="AI194" s="39">
        <v>94.64843125</v>
      </c>
      <c r="AJ194" s="39">
        <v>105.19192462999999</v>
      </c>
      <c r="AK194" s="39">
        <v>48.09770521</v>
      </c>
      <c r="AL194" s="39">
        <v>7.42975057</v>
      </c>
      <c r="AM194" s="39">
        <v>6.75557667</v>
      </c>
      <c r="AN194" s="39">
        <v>12.92151022</v>
      </c>
      <c r="AO194" s="39">
        <v>21.22180057</v>
      </c>
      <c r="AP194" s="39">
        <v>5.79468301</v>
      </c>
      <c r="AQ194" s="39">
        <v>3.5003024500000004</v>
      </c>
      <c r="AR194" s="39">
        <v>9.36741345</v>
      </c>
      <c r="AS194" s="39">
        <v>6.98048315</v>
      </c>
      <c r="AT194" s="59">
        <v>7.13559802</v>
      </c>
    </row>
    <row r="195" spans="2:46" ht="15">
      <c r="B195" s="37" t="s">
        <v>37</v>
      </c>
      <c r="C195" s="60">
        <f>11.18141508-Z218</f>
        <v>0.3134250600000019</v>
      </c>
      <c r="D195" s="39">
        <f>9.29995628-AA218</f>
        <v>0.47565997999999965</v>
      </c>
      <c r="E195" s="39">
        <f>9.32762862-AB218</f>
        <v>0.17849138000000053</v>
      </c>
      <c r="F195" s="39">
        <f>12.59691667-AC218</f>
        <v>0.2608982700000002</v>
      </c>
      <c r="G195" s="39">
        <f>19.83526785-AD218</f>
        <v>0.09190906999999982</v>
      </c>
      <c r="H195" s="39">
        <v>0.34398632</v>
      </c>
      <c r="I195" s="39">
        <v>0.36039466000000003</v>
      </c>
      <c r="J195" s="39">
        <v>0.34504584000000005</v>
      </c>
      <c r="K195" s="39">
        <v>0.21940621000000002</v>
      </c>
      <c r="L195" s="39">
        <v>0.58697314</v>
      </c>
      <c r="M195" s="61">
        <v>0.23757148</v>
      </c>
      <c r="N195" s="61">
        <v>0.29793350999999996</v>
      </c>
      <c r="O195" s="61">
        <v>0.45696237</v>
      </c>
      <c r="P195" s="61">
        <v>0.47650813000000003</v>
      </c>
      <c r="Q195" s="61">
        <v>0.5347874399999999</v>
      </c>
      <c r="R195" s="61">
        <v>0.5628815</v>
      </c>
      <c r="S195" s="61">
        <v>0.6198455</v>
      </c>
      <c r="T195" s="61">
        <v>0.6669736900000001</v>
      </c>
      <c r="U195" s="61">
        <v>0.76517358</v>
      </c>
      <c r="V195" s="61">
        <v>0.74829115</v>
      </c>
      <c r="W195" s="62"/>
      <c r="Y195" s="37" t="s">
        <v>37</v>
      </c>
      <c r="Z195" s="60">
        <v>8.38311426</v>
      </c>
      <c r="AA195" s="39">
        <v>39.74016896</v>
      </c>
      <c r="AB195" s="39">
        <v>68.25146352</v>
      </c>
      <c r="AC195" s="39">
        <v>100.08245296</v>
      </c>
      <c r="AD195" s="39">
        <v>124.68536653999999</v>
      </c>
      <c r="AE195" s="39">
        <v>108.81586738000001</v>
      </c>
      <c r="AF195" s="39">
        <v>79.09410582</v>
      </c>
      <c r="AG195" s="39">
        <v>104.37119512999999</v>
      </c>
      <c r="AH195" s="39">
        <v>87.21681785000001</v>
      </c>
      <c r="AI195" s="39">
        <v>19.91087146</v>
      </c>
      <c r="AJ195" s="61">
        <v>65.6875382</v>
      </c>
      <c r="AK195" s="39">
        <v>31.71664977</v>
      </c>
      <c r="AL195" s="39">
        <v>5.36873096</v>
      </c>
      <c r="AM195" s="39">
        <v>9.539566839999999</v>
      </c>
      <c r="AN195" s="39">
        <v>17.1621585</v>
      </c>
      <c r="AO195" s="39">
        <v>34.57676981</v>
      </c>
      <c r="AP195" s="39">
        <v>27.532333509999997</v>
      </c>
      <c r="AQ195" s="39">
        <v>6.62114755</v>
      </c>
      <c r="AR195" s="78">
        <v>6.41298245</v>
      </c>
      <c r="AS195" s="39">
        <v>16.526891539999998</v>
      </c>
      <c r="AT195" s="59"/>
    </row>
    <row r="196" spans="2:46" ht="15.75" thickBot="1">
      <c r="B196" s="37" t="s">
        <v>38</v>
      </c>
      <c r="C196" s="60">
        <f>10.45041739-Z219</f>
        <v>0.2541378099999996</v>
      </c>
      <c r="D196" s="39">
        <f>9.7663287-AA219</f>
        <v>0.4653104300000006</v>
      </c>
      <c r="E196" s="39">
        <f>10.23197252-AB219</f>
        <v>0.17618037999999814</v>
      </c>
      <c r="F196" s="39">
        <f>11.22985289-AC219</f>
        <v>0.1653227699999995</v>
      </c>
      <c r="G196" s="39">
        <f>4.83404823-AD219</f>
        <v>0.06027751999999964</v>
      </c>
      <c r="H196" s="39">
        <v>0.31661320000000004</v>
      </c>
      <c r="I196" s="39">
        <v>0.30256127</v>
      </c>
      <c r="J196" s="39">
        <v>0.27271222</v>
      </c>
      <c r="K196" s="39">
        <v>0.40687918</v>
      </c>
      <c r="L196" s="39">
        <v>0.20462169</v>
      </c>
      <c r="M196" s="39">
        <v>0.38444774</v>
      </c>
      <c r="N196" s="39">
        <v>0.34420796000000004</v>
      </c>
      <c r="O196" s="39">
        <v>0.41879878</v>
      </c>
      <c r="P196" s="39">
        <v>0.54608658</v>
      </c>
      <c r="Q196" s="39">
        <v>0.52551187</v>
      </c>
      <c r="R196" s="39">
        <v>0.5609231499999999</v>
      </c>
      <c r="S196" s="39">
        <v>0.6008211800000001</v>
      </c>
      <c r="T196" s="39">
        <v>0.66068961</v>
      </c>
      <c r="U196" s="39">
        <v>0.76130253</v>
      </c>
      <c r="V196" s="39">
        <v>0.76551934</v>
      </c>
      <c r="W196" s="59"/>
      <c r="Y196" s="37" t="s">
        <v>38</v>
      </c>
      <c r="Z196" s="60">
        <v>122.59186509999999</v>
      </c>
      <c r="AA196" s="39">
        <v>124.56528743999999</v>
      </c>
      <c r="AB196" s="39">
        <v>114.24663332</v>
      </c>
      <c r="AC196" s="39">
        <v>51.21748094</v>
      </c>
      <c r="AD196" s="39">
        <v>167.03410015999998</v>
      </c>
      <c r="AE196" s="39">
        <v>106.79314657</v>
      </c>
      <c r="AF196" s="39">
        <v>76.73235293</v>
      </c>
      <c r="AG196" s="39">
        <v>128.75579172</v>
      </c>
      <c r="AH196" s="39">
        <v>172.34794257000001</v>
      </c>
      <c r="AI196" s="39">
        <v>162.80936164</v>
      </c>
      <c r="AJ196" s="39">
        <v>83.41230505</v>
      </c>
      <c r="AK196" s="39">
        <v>53.489265409999994</v>
      </c>
      <c r="AL196" s="39">
        <v>17.715621719999998</v>
      </c>
      <c r="AM196" s="39">
        <v>13.10532761</v>
      </c>
      <c r="AN196" s="39">
        <v>19.99921261</v>
      </c>
      <c r="AO196" s="39">
        <v>32.248194209999994</v>
      </c>
      <c r="AP196" s="39">
        <v>5.66588719</v>
      </c>
      <c r="AQ196" s="39">
        <v>1.9816295</v>
      </c>
      <c r="AR196" s="78">
        <v>24.101624229999995</v>
      </c>
      <c r="AS196" s="39">
        <v>10.71303827</v>
      </c>
      <c r="AT196" s="59"/>
    </row>
    <row r="197" spans="2:46" ht="15.75" thickBot="1">
      <c r="B197" s="35" t="s">
        <v>3</v>
      </c>
      <c r="C197" s="43">
        <f>SUM(C185:C196)</f>
        <v>5.177363190000002</v>
      </c>
      <c r="D197" s="36">
        <f>SUM(D185:D196)</f>
        <v>4.719998819999999</v>
      </c>
      <c r="E197" s="36">
        <f aca="true" t="shared" si="16" ref="E197:R197">SUM(E185:E196)</f>
        <v>1.4914391900000012</v>
      </c>
      <c r="F197" s="36">
        <f t="shared" si="16"/>
        <v>1.968468719999998</v>
      </c>
      <c r="G197" s="36">
        <f t="shared" si="16"/>
        <v>1.3108228100000012</v>
      </c>
      <c r="H197" s="36">
        <f t="shared" si="16"/>
        <v>4.68301836</v>
      </c>
      <c r="I197" s="36">
        <f t="shared" si="16"/>
        <v>3.5501858299999993</v>
      </c>
      <c r="J197" s="36">
        <f t="shared" si="16"/>
        <v>3.63679598</v>
      </c>
      <c r="K197" s="36">
        <f t="shared" si="16"/>
        <v>3.5893351300000003</v>
      </c>
      <c r="L197" s="36">
        <f t="shared" si="16"/>
        <v>3.51973259</v>
      </c>
      <c r="M197" s="36">
        <f t="shared" si="16"/>
        <v>3.8823809400000004</v>
      </c>
      <c r="N197" s="36">
        <f t="shared" si="16"/>
        <v>4.04241055</v>
      </c>
      <c r="O197" s="36">
        <f t="shared" si="16"/>
        <v>4.394244479999999</v>
      </c>
      <c r="P197" s="36">
        <f t="shared" si="16"/>
        <v>5.709263089999999</v>
      </c>
      <c r="Q197" s="36">
        <f t="shared" si="16"/>
        <v>7.47112919</v>
      </c>
      <c r="R197" s="36">
        <f t="shared" si="16"/>
        <v>6.73152295</v>
      </c>
      <c r="S197" s="36">
        <v>7.1245133</v>
      </c>
      <c r="T197" s="36">
        <f>SUM(T185:T196)</f>
        <v>7.54269156</v>
      </c>
      <c r="U197" s="36">
        <v>8.376263909999999</v>
      </c>
      <c r="V197" s="36">
        <f>SUM(V185:V196)</f>
        <v>9.526002379999998</v>
      </c>
      <c r="W197" s="58">
        <f>SUM(W185:W196)</f>
        <v>8.524487389999999</v>
      </c>
      <c r="Y197" s="35" t="s">
        <v>3</v>
      </c>
      <c r="Z197" s="43">
        <f>SUM(Z185:Z196)</f>
        <v>506.19041007000004</v>
      </c>
      <c r="AA197" s="36">
        <f>SUM(AA185:AA196)</f>
        <v>494.24113905</v>
      </c>
      <c r="AB197" s="36">
        <f aca="true" t="shared" si="17" ref="AB197:AO197">SUM(AB185:AB196)</f>
        <v>591.32525568</v>
      </c>
      <c r="AC197" s="36">
        <f t="shared" si="17"/>
        <v>671.5873921099999</v>
      </c>
      <c r="AD197" s="36">
        <f t="shared" si="17"/>
        <v>801.1945707</v>
      </c>
      <c r="AE197" s="36">
        <f t="shared" si="17"/>
        <v>1228.2432226</v>
      </c>
      <c r="AF197" s="36">
        <f t="shared" si="17"/>
        <v>514.96947705</v>
      </c>
      <c r="AG197" s="36">
        <f t="shared" si="17"/>
        <v>687.92273398</v>
      </c>
      <c r="AH197" s="36">
        <f t="shared" si="17"/>
        <v>1145.3415252900002</v>
      </c>
      <c r="AI197" s="36">
        <f t="shared" si="17"/>
        <v>1053.67698538</v>
      </c>
      <c r="AJ197" s="36">
        <f t="shared" si="17"/>
        <v>868.39551469</v>
      </c>
      <c r="AK197" s="36">
        <f t="shared" si="17"/>
        <v>619.1354433700001</v>
      </c>
      <c r="AL197" s="36">
        <f t="shared" si="17"/>
        <v>223.60235183</v>
      </c>
      <c r="AM197" s="36">
        <f t="shared" si="17"/>
        <v>148.88019602999998</v>
      </c>
      <c r="AN197" s="36">
        <f t="shared" si="17"/>
        <v>206.80507057</v>
      </c>
      <c r="AO197" s="36">
        <f t="shared" si="17"/>
        <v>322.83859536999995</v>
      </c>
      <c r="AP197" s="36">
        <v>178.18549862</v>
      </c>
      <c r="AQ197" s="36">
        <f>SUM(AQ185:AQ196)</f>
        <v>117.82385452000003</v>
      </c>
      <c r="AR197" s="79">
        <v>178.3342813</v>
      </c>
      <c r="AS197" s="36">
        <f>SUM(AS185:AS196)</f>
        <v>326.70258829000005</v>
      </c>
      <c r="AT197" s="58">
        <f>SUM(AT185:AT196)</f>
        <v>81.59250521</v>
      </c>
    </row>
    <row r="198" spans="2:46" ht="15">
      <c r="B198" s="4" t="s">
        <v>4</v>
      </c>
      <c r="C198" s="4"/>
      <c r="D198" s="4"/>
      <c r="E198" s="4"/>
      <c r="F198" s="5"/>
      <c r="G198" s="5"/>
      <c r="H198" s="5"/>
      <c r="I198" s="5"/>
      <c r="J198" s="5"/>
      <c r="K198" s="5"/>
      <c r="L198" s="5"/>
      <c r="M198" s="5"/>
      <c r="N198" s="5"/>
      <c r="O198" s="5"/>
      <c r="X198" s="4"/>
      <c r="Y198" s="4" t="s">
        <v>4</v>
      </c>
      <c r="Z198" s="4"/>
      <c r="AA198" s="4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S198" s="54"/>
      <c r="AT198" s="54"/>
    </row>
    <row r="199" spans="2:46" ht="15">
      <c r="B199" s="73" t="s">
        <v>5</v>
      </c>
      <c r="C199" s="73"/>
      <c r="D199" s="73"/>
      <c r="E199" s="73"/>
      <c r="F199" s="6"/>
      <c r="G199" s="6"/>
      <c r="H199" s="6"/>
      <c r="I199" s="6"/>
      <c r="J199" s="6"/>
      <c r="K199" s="6"/>
      <c r="L199" s="6"/>
      <c r="M199" s="6"/>
      <c r="N199" s="6"/>
      <c r="O199" s="6"/>
      <c r="X199" s="50"/>
      <c r="Y199" s="50" t="s">
        <v>5</v>
      </c>
      <c r="Z199" s="50"/>
      <c r="AA199" s="50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S199" s="54"/>
      <c r="AT199" s="54"/>
    </row>
    <row r="200" spans="2:46" ht="15">
      <c r="B200" s="76" t="s">
        <v>26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32"/>
      <c r="M200" s="32"/>
      <c r="N200" s="32"/>
      <c r="O200" s="32"/>
      <c r="AS200" s="54"/>
      <c r="AT200" s="54"/>
    </row>
    <row r="201" spans="2:46" ht="1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32"/>
      <c r="M201" s="32"/>
      <c r="N201" s="32"/>
      <c r="O201" s="32"/>
      <c r="AS201" s="54"/>
      <c r="AT201" s="54"/>
    </row>
    <row r="202" spans="45:46" ht="15">
      <c r="AS202" s="54"/>
      <c r="AT202" s="54"/>
    </row>
    <row r="203" spans="2:46" ht="15.75" customHeight="1">
      <c r="B203" s="75" t="s">
        <v>23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49"/>
      <c r="Y203" s="75" t="s">
        <v>25</v>
      </c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</row>
    <row r="204" spans="2:46" ht="15">
      <c r="B204" s="72" t="s">
        <v>39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11"/>
      <c r="Y204" s="72" t="s">
        <v>39</v>
      </c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</row>
    <row r="205" spans="2:46" ht="15.75" thickBot="1">
      <c r="B205" s="71" t="s">
        <v>1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11"/>
      <c r="Y205" s="71" t="s">
        <v>1</v>
      </c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</row>
    <row r="206" spans="2:46" ht="33" customHeight="1" thickBot="1">
      <c r="B206" s="33" t="s">
        <v>2</v>
      </c>
      <c r="C206" s="41">
        <v>2003</v>
      </c>
      <c r="D206" s="34">
        <v>2004</v>
      </c>
      <c r="E206" s="34">
        <v>2005</v>
      </c>
      <c r="F206" s="34">
        <v>2006</v>
      </c>
      <c r="G206" s="34">
        <v>2007</v>
      </c>
      <c r="H206" s="34">
        <v>2008</v>
      </c>
      <c r="I206" s="34">
        <v>2009</v>
      </c>
      <c r="J206" s="34">
        <v>2010</v>
      </c>
      <c r="K206" s="34">
        <v>2011</v>
      </c>
      <c r="L206" s="34">
        <v>2012</v>
      </c>
      <c r="M206" s="34">
        <v>2013</v>
      </c>
      <c r="N206" s="34">
        <v>2014</v>
      </c>
      <c r="O206" s="34">
        <v>2015</v>
      </c>
      <c r="P206" s="34">
        <v>2016</v>
      </c>
      <c r="Q206" s="34">
        <v>2017</v>
      </c>
      <c r="R206" s="34">
        <v>2018</v>
      </c>
      <c r="S206" s="34">
        <v>2019</v>
      </c>
      <c r="T206" s="34">
        <v>2020</v>
      </c>
      <c r="U206" s="34">
        <v>2021</v>
      </c>
      <c r="V206" s="34">
        <v>2022</v>
      </c>
      <c r="W206" s="55">
        <v>2023</v>
      </c>
      <c r="X206" s="53"/>
      <c r="Y206" s="33" t="s">
        <v>2</v>
      </c>
      <c r="Z206" s="41">
        <v>2003</v>
      </c>
      <c r="AA206" s="34">
        <v>2004</v>
      </c>
      <c r="AB206" s="34">
        <v>2005</v>
      </c>
      <c r="AC206" s="34">
        <v>2006</v>
      </c>
      <c r="AD206" s="34">
        <v>2007</v>
      </c>
      <c r="AE206" s="34">
        <v>2008</v>
      </c>
      <c r="AF206" s="34">
        <v>2009</v>
      </c>
      <c r="AG206" s="34">
        <v>2010</v>
      </c>
      <c r="AH206" s="34">
        <v>2011</v>
      </c>
      <c r="AI206" s="34">
        <v>2012</v>
      </c>
      <c r="AJ206" s="34">
        <v>2013</v>
      </c>
      <c r="AK206" s="34">
        <v>2014</v>
      </c>
      <c r="AL206" s="34">
        <v>2015</v>
      </c>
      <c r="AM206" s="34">
        <v>2016</v>
      </c>
      <c r="AN206" s="34">
        <v>2017</v>
      </c>
      <c r="AO206" s="34">
        <v>2018</v>
      </c>
      <c r="AP206" s="34">
        <v>2019</v>
      </c>
      <c r="AQ206" s="34">
        <v>2020</v>
      </c>
      <c r="AR206" s="34">
        <v>2021</v>
      </c>
      <c r="AS206" s="34">
        <v>2022</v>
      </c>
      <c r="AT206" s="55">
        <v>2023</v>
      </c>
    </row>
    <row r="207" spans="2:46" ht="4.5" customHeight="1"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56"/>
      <c r="Y207" s="46"/>
      <c r="Z207" s="65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3"/>
    </row>
    <row r="208" spans="2:46" ht="15">
      <c r="B208" s="37" t="s">
        <v>27</v>
      </c>
      <c r="C208" s="60">
        <v>5.86948375</v>
      </c>
      <c r="D208" s="39">
        <v>5.126932480000001</v>
      </c>
      <c r="E208" s="39">
        <v>5.65664748</v>
      </c>
      <c r="F208" s="39">
        <v>5.59512516</v>
      </c>
      <c r="G208" s="39">
        <v>12.927284380000001</v>
      </c>
      <c r="H208" s="39">
        <v>16.27191835</v>
      </c>
      <c r="I208" s="39">
        <v>12.775287030000001</v>
      </c>
      <c r="J208" s="39">
        <v>13.06467051</v>
      </c>
      <c r="K208" s="39">
        <v>11.26018617</v>
      </c>
      <c r="L208" s="39">
        <v>12.29541913</v>
      </c>
      <c r="M208" s="39">
        <v>12.898977460000001</v>
      </c>
      <c r="N208" s="39">
        <v>10.07995471</v>
      </c>
      <c r="O208" s="39">
        <v>14.275253529999999</v>
      </c>
      <c r="P208" s="39">
        <v>19.924124350000003</v>
      </c>
      <c r="Q208" s="39">
        <v>26.05027407</v>
      </c>
      <c r="R208" s="39">
        <v>28.31054531</v>
      </c>
      <c r="S208" s="39">
        <v>34.59264804</v>
      </c>
      <c r="T208" s="39">
        <v>34.86025439</v>
      </c>
      <c r="U208" s="39">
        <v>5.84037523</v>
      </c>
      <c r="V208" s="39">
        <v>27.22912599</v>
      </c>
      <c r="W208" s="59">
        <v>45.76307523</v>
      </c>
      <c r="Y208" s="37" t="s">
        <v>27</v>
      </c>
      <c r="Z208" s="60">
        <v>6.79012277</v>
      </c>
      <c r="AA208" s="39">
        <f>6959075.11/1000000</f>
        <v>6.959075110000001</v>
      </c>
      <c r="AB208" s="39">
        <v>6.7558593799999995</v>
      </c>
      <c r="AC208" s="39">
        <v>6.60523468</v>
      </c>
      <c r="AD208" s="39">
        <v>6.96060819</v>
      </c>
      <c r="AE208" s="39">
        <v>0.27970297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0</v>
      </c>
      <c r="AN208" s="39">
        <v>0</v>
      </c>
      <c r="AO208" s="39">
        <v>0</v>
      </c>
      <c r="AP208" s="39">
        <v>0</v>
      </c>
      <c r="AQ208" s="39">
        <v>0</v>
      </c>
      <c r="AR208" s="39">
        <v>0</v>
      </c>
      <c r="AS208" s="39">
        <v>0</v>
      </c>
      <c r="AT208" s="59">
        <v>0</v>
      </c>
    </row>
    <row r="209" spans="2:46" ht="15">
      <c r="B209" s="37" t="s">
        <v>28</v>
      </c>
      <c r="C209" s="60">
        <v>15.025785280000001</v>
      </c>
      <c r="D209" s="39">
        <v>14.95513991</v>
      </c>
      <c r="E209" s="39">
        <v>16.756569210000002</v>
      </c>
      <c r="F209" s="39">
        <v>16.58653254</v>
      </c>
      <c r="G209" s="39">
        <v>16.241679650000002</v>
      </c>
      <c r="H209" s="39">
        <v>16.89923579</v>
      </c>
      <c r="I209" s="39">
        <v>16.98814134</v>
      </c>
      <c r="J209" s="39">
        <v>19.830358280000002</v>
      </c>
      <c r="K209" s="39">
        <v>17.9002972</v>
      </c>
      <c r="L209" s="39">
        <v>17.66005861</v>
      </c>
      <c r="M209" s="39">
        <v>19.1651373</v>
      </c>
      <c r="N209" s="39">
        <v>25.65956316</v>
      </c>
      <c r="O209" s="39">
        <v>20.091392980000002</v>
      </c>
      <c r="P209" s="39">
        <v>20.90917651</v>
      </c>
      <c r="Q209" s="39">
        <v>27.43802046</v>
      </c>
      <c r="R209" s="39">
        <v>26.175559739999997</v>
      </c>
      <c r="S209" s="39">
        <v>27.92675553</v>
      </c>
      <c r="T209" s="39">
        <v>28.48630449</v>
      </c>
      <c r="U209" s="39">
        <v>16.3906232</v>
      </c>
      <c r="V209" s="39">
        <v>24.547912760000003</v>
      </c>
      <c r="W209" s="59">
        <v>23.70901143</v>
      </c>
      <c r="Y209" s="37" t="s">
        <v>28</v>
      </c>
      <c r="Z209" s="60">
        <v>6.83502284</v>
      </c>
      <c r="AA209" s="39">
        <f>6132067.18/1000000</f>
        <v>6.13206718</v>
      </c>
      <c r="AB209" s="39">
        <v>7.10235318</v>
      </c>
      <c r="AC209" s="39">
        <v>7.28403298</v>
      </c>
      <c r="AD209" s="39">
        <v>8.62550691</v>
      </c>
      <c r="AE209" s="39">
        <v>0.3113856</v>
      </c>
      <c r="AF209" s="39">
        <v>0</v>
      </c>
      <c r="AG209" s="39">
        <v>0</v>
      </c>
      <c r="AH209" s="39">
        <v>0</v>
      </c>
      <c r="AI209" s="39">
        <v>0</v>
      </c>
      <c r="AJ209" s="39">
        <v>0</v>
      </c>
      <c r="AK209" s="39">
        <v>0</v>
      </c>
      <c r="AL209" s="39">
        <v>0</v>
      </c>
      <c r="AM209" s="39">
        <v>0</v>
      </c>
      <c r="AN209" s="39">
        <v>0</v>
      </c>
      <c r="AO209" s="39">
        <v>0</v>
      </c>
      <c r="AP209" s="39">
        <v>0</v>
      </c>
      <c r="AQ209" s="39">
        <v>0</v>
      </c>
      <c r="AR209" s="39">
        <v>0</v>
      </c>
      <c r="AS209" s="39">
        <v>0</v>
      </c>
      <c r="AT209" s="59">
        <v>0</v>
      </c>
    </row>
    <row r="210" spans="2:46" ht="15">
      <c r="B210" s="37" t="s">
        <v>29</v>
      </c>
      <c r="C210" s="60">
        <v>11.533525730000001</v>
      </c>
      <c r="D210" s="39">
        <v>13.975662130000002</v>
      </c>
      <c r="E210" s="39">
        <v>15.57945449</v>
      </c>
      <c r="F210" s="39">
        <v>15.73094139</v>
      </c>
      <c r="G210" s="39">
        <v>16.2715527</v>
      </c>
      <c r="H210" s="39">
        <v>20.3270898</v>
      </c>
      <c r="I210" s="39">
        <v>17.478747990000002</v>
      </c>
      <c r="J210" s="39">
        <v>17.188138440000003</v>
      </c>
      <c r="K210" s="39">
        <v>15.53865385</v>
      </c>
      <c r="L210" s="39">
        <v>18.113793519999998</v>
      </c>
      <c r="M210" s="39">
        <v>17.014519170000003</v>
      </c>
      <c r="N210" s="39">
        <v>17.8797725</v>
      </c>
      <c r="O210" s="39">
        <v>18.21749128</v>
      </c>
      <c r="P210" s="39">
        <v>20.99645573</v>
      </c>
      <c r="Q210" s="39">
        <v>22.944821649999998</v>
      </c>
      <c r="R210" s="39">
        <v>23.67126884</v>
      </c>
      <c r="S210" s="39">
        <v>25.21685055</v>
      </c>
      <c r="T210" s="39">
        <v>22.5486115</v>
      </c>
      <c r="U210" s="39">
        <v>9.582609230000001</v>
      </c>
      <c r="V210" s="39">
        <v>20.294888219999997</v>
      </c>
      <c r="W210" s="59">
        <v>23.81542082</v>
      </c>
      <c r="Y210" s="37" t="s">
        <v>29</v>
      </c>
      <c r="Z210" s="60">
        <v>6.6943725700000005</v>
      </c>
      <c r="AA210" s="39">
        <f>6129401.5/1000000</f>
        <v>6.1294015</v>
      </c>
      <c r="AB210" s="39">
        <v>6.8157405099999995</v>
      </c>
      <c r="AC210" s="39">
        <v>7.79429634</v>
      </c>
      <c r="AD210" s="39">
        <v>8.850292849999999</v>
      </c>
      <c r="AE210" s="39">
        <v>0.25090418</v>
      </c>
      <c r="AF210" s="39">
        <v>0</v>
      </c>
      <c r="AG210" s="39">
        <v>0</v>
      </c>
      <c r="AH210" s="39">
        <v>0</v>
      </c>
      <c r="AI210" s="39">
        <v>0</v>
      </c>
      <c r="AJ210" s="39">
        <v>0</v>
      </c>
      <c r="AK210" s="39">
        <v>0</v>
      </c>
      <c r="AL210" s="39">
        <v>0</v>
      </c>
      <c r="AM210" s="39">
        <v>0</v>
      </c>
      <c r="AN210" s="39">
        <v>0</v>
      </c>
      <c r="AO210" s="39">
        <v>0</v>
      </c>
      <c r="AP210" s="39">
        <v>0</v>
      </c>
      <c r="AQ210" s="39">
        <v>0</v>
      </c>
      <c r="AR210" s="39">
        <v>0</v>
      </c>
      <c r="AS210" s="39">
        <v>0</v>
      </c>
      <c r="AT210" s="59">
        <v>0</v>
      </c>
    </row>
    <row r="211" spans="2:46" ht="15">
      <c r="B211" s="37" t="s">
        <v>30</v>
      </c>
      <c r="C211" s="60">
        <v>12.44583637</v>
      </c>
      <c r="D211" s="39">
        <v>15.00266224</v>
      </c>
      <c r="E211" s="39">
        <v>15.85527255</v>
      </c>
      <c r="F211" s="39">
        <v>16.19082037</v>
      </c>
      <c r="G211" s="39">
        <v>20.48602023</v>
      </c>
      <c r="H211" s="39">
        <v>19.268494080000004</v>
      </c>
      <c r="I211" s="39">
        <v>19.541342900000004</v>
      </c>
      <c r="J211" s="39">
        <v>21.19800919</v>
      </c>
      <c r="K211" s="39">
        <v>18.506764899999997</v>
      </c>
      <c r="L211" s="39">
        <v>20.133699649999997</v>
      </c>
      <c r="M211" s="39">
        <v>19.66627168</v>
      </c>
      <c r="N211" s="39">
        <v>21.259563829999998</v>
      </c>
      <c r="O211" s="39">
        <v>18.36737975</v>
      </c>
      <c r="P211" s="39">
        <v>27.74942504</v>
      </c>
      <c r="Q211" s="39">
        <v>19.02273666</v>
      </c>
      <c r="R211" s="39">
        <v>25.94636707</v>
      </c>
      <c r="S211" s="39">
        <v>16.068297039999997</v>
      </c>
      <c r="T211" s="39">
        <v>10.10283566</v>
      </c>
      <c r="U211" s="39">
        <v>13.726646630000001</v>
      </c>
      <c r="V211" s="39">
        <v>30.68281294</v>
      </c>
      <c r="W211" s="59">
        <v>35.31593718</v>
      </c>
      <c r="Y211" s="37" t="s">
        <v>30</v>
      </c>
      <c r="Z211" s="60">
        <v>7.433608990000001</v>
      </c>
      <c r="AA211" s="39">
        <f>8975650.4/1000000</f>
        <v>8.975650400000001</v>
      </c>
      <c r="AB211" s="39">
        <v>7.59785806</v>
      </c>
      <c r="AC211" s="39">
        <v>9.96289576</v>
      </c>
      <c r="AD211" s="39">
        <v>10.92450603</v>
      </c>
      <c r="AE211" s="39">
        <v>0.19952377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0</v>
      </c>
      <c r="AO211" s="39">
        <v>0</v>
      </c>
      <c r="AP211" s="39">
        <v>0</v>
      </c>
      <c r="AQ211" s="39">
        <v>0</v>
      </c>
      <c r="AR211" s="39">
        <v>0</v>
      </c>
      <c r="AS211" s="3">
        <v>0</v>
      </c>
      <c r="AT211" s="57">
        <v>0</v>
      </c>
    </row>
    <row r="212" spans="2:46" ht="15">
      <c r="B212" s="37" t="s">
        <v>31</v>
      </c>
      <c r="C212" s="60">
        <v>13.40418393</v>
      </c>
      <c r="D212" s="39">
        <v>16.05292652</v>
      </c>
      <c r="E212" s="39">
        <v>17.635235830000003</v>
      </c>
      <c r="F212" s="39">
        <v>17.660572350000002</v>
      </c>
      <c r="G212" s="39">
        <v>18.52903386</v>
      </c>
      <c r="H212" s="39">
        <v>19.67662341</v>
      </c>
      <c r="I212" s="39">
        <v>19.962006170000002</v>
      </c>
      <c r="J212" s="39">
        <v>18.81576381</v>
      </c>
      <c r="K212" s="39">
        <v>18.79431203</v>
      </c>
      <c r="L212" s="39">
        <v>19.951121649999997</v>
      </c>
      <c r="M212" s="39">
        <v>25.24487093</v>
      </c>
      <c r="N212" s="39">
        <v>20.17128343</v>
      </c>
      <c r="O212" s="39">
        <v>27.28442772</v>
      </c>
      <c r="P212" s="39">
        <v>19.804881</v>
      </c>
      <c r="Q212" s="39">
        <v>29.51287207</v>
      </c>
      <c r="R212" s="39">
        <v>28.32323825</v>
      </c>
      <c r="S212" s="39">
        <v>39.66807627</v>
      </c>
      <c r="T212" s="39">
        <v>3.19317537</v>
      </c>
      <c r="U212" s="39">
        <v>16.25789694</v>
      </c>
      <c r="V212" s="39">
        <v>24.41632517</v>
      </c>
      <c r="W212" s="59">
        <v>33.81039832</v>
      </c>
      <c r="Y212" s="37" t="s">
        <v>31</v>
      </c>
      <c r="Z212" s="60">
        <v>7.517394599999999</v>
      </c>
      <c r="AA212" s="39">
        <f>7006902.75/1000000</f>
        <v>7.00690275</v>
      </c>
      <c r="AB212" s="39">
        <v>7.74028608</v>
      </c>
      <c r="AC212" s="39">
        <v>7.486497610000001</v>
      </c>
      <c r="AD212" s="39">
        <v>9.71047724</v>
      </c>
      <c r="AE212" s="39">
        <v>0.22692364</v>
      </c>
      <c r="AF212" s="39">
        <v>0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0</v>
      </c>
      <c r="AM212" s="39">
        <v>0</v>
      </c>
      <c r="AN212" s="39">
        <v>0</v>
      </c>
      <c r="AO212" s="39">
        <v>0</v>
      </c>
      <c r="AP212" s="39">
        <v>0</v>
      </c>
      <c r="AQ212" s="39">
        <v>0</v>
      </c>
      <c r="AR212" s="39">
        <v>0</v>
      </c>
      <c r="AS212" s="3">
        <v>0</v>
      </c>
      <c r="AT212" s="57">
        <v>0</v>
      </c>
    </row>
    <row r="213" spans="2:46" ht="15">
      <c r="B213" s="37" t="s">
        <v>32</v>
      </c>
      <c r="C213" s="60">
        <v>13.914903770000002</v>
      </c>
      <c r="D213" s="39">
        <v>15.01875836</v>
      </c>
      <c r="E213" s="39">
        <v>16.27439816</v>
      </c>
      <c r="F213" s="39">
        <v>16.994407510000002</v>
      </c>
      <c r="G213" s="39">
        <v>15.308288450000001</v>
      </c>
      <c r="H213" s="39">
        <v>17.39437552</v>
      </c>
      <c r="I213" s="39">
        <v>15.96339766</v>
      </c>
      <c r="J213" s="39">
        <v>16.37040001</v>
      </c>
      <c r="K213" s="39">
        <v>17.05320399</v>
      </c>
      <c r="L213" s="39">
        <v>18.164933920000003</v>
      </c>
      <c r="M213" s="39">
        <v>16.9457909</v>
      </c>
      <c r="N213" s="39">
        <v>22.77395499</v>
      </c>
      <c r="O213" s="39">
        <v>16.4512129</v>
      </c>
      <c r="P213" s="39">
        <v>23.11832199</v>
      </c>
      <c r="Q213" s="39">
        <v>23.45977533</v>
      </c>
      <c r="R213" s="39">
        <v>21.48999251</v>
      </c>
      <c r="S213" s="39">
        <v>29.06807906</v>
      </c>
      <c r="T213" s="39">
        <v>0.20275182</v>
      </c>
      <c r="U213" s="39">
        <v>19.59326595</v>
      </c>
      <c r="V213" s="39">
        <v>27.077503989999997</v>
      </c>
      <c r="W213" s="59">
        <v>34.00477213</v>
      </c>
      <c r="Y213" s="37" t="s">
        <v>32</v>
      </c>
      <c r="Z213" s="60">
        <v>7.7963071799999994</v>
      </c>
      <c r="AA213" s="39">
        <f>7838492.91/1000000</f>
        <v>7.83849291</v>
      </c>
      <c r="AB213" s="39">
        <v>8.36767192</v>
      </c>
      <c r="AC213" s="39">
        <v>9.9341363</v>
      </c>
      <c r="AD213" s="39">
        <v>10.45990425</v>
      </c>
      <c r="AE213" s="39">
        <v>0.24934285</v>
      </c>
      <c r="AF213" s="39">
        <v>0</v>
      </c>
      <c r="AG213" s="39">
        <v>0</v>
      </c>
      <c r="AH213" s="39">
        <v>0</v>
      </c>
      <c r="AI213" s="39">
        <v>0</v>
      </c>
      <c r="AJ213" s="39">
        <v>0</v>
      </c>
      <c r="AK213" s="39">
        <v>0</v>
      </c>
      <c r="AL213" s="39">
        <v>0</v>
      </c>
      <c r="AM213" s="39">
        <v>0</v>
      </c>
      <c r="AN213" s="39">
        <v>0</v>
      </c>
      <c r="AO213" s="39">
        <v>0</v>
      </c>
      <c r="AP213" s="39">
        <v>0</v>
      </c>
      <c r="AQ213" s="39">
        <v>0</v>
      </c>
      <c r="AR213" s="39">
        <v>0</v>
      </c>
      <c r="AS213" s="3">
        <v>0</v>
      </c>
      <c r="AT213" s="57">
        <v>0</v>
      </c>
    </row>
    <row r="214" spans="2:46" ht="15">
      <c r="B214" s="37" t="s">
        <v>33</v>
      </c>
      <c r="C214" s="60">
        <v>10.299241709999999</v>
      </c>
      <c r="D214" s="39">
        <v>14.83140749</v>
      </c>
      <c r="E214" s="39">
        <v>15.83557457</v>
      </c>
      <c r="F214" s="39">
        <v>16.24980494</v>
      </c>
      <c r="G214" s="39">
        <v>18.17352193</v>
      </c>
      <c r="H214" s="39">
        <v>18.93260222</v>
      </c>
      <c r="I214" s="39">
        <v>19.35941359</v>
      </c>
      <c r="J214" s="39">
        <v>17.837736260000003</v>
      </c>
      <c r="K214" s="39">
        <v>19.85477751</v>
      </c>
      <c r="L214" s="39">
        <v>19.74236268</v>
      </c>
      <c r="M214" s="39">
        <v>18.27876902</v>
      </c>
      <c r="N214" s="39">
        <v>22.27885364</v>
      </c>
      <c r="O214" s="39">
        <v>25.476971629999998</v>
      </c>
      <c r="P214" s="39">
        <v>25.238429359999998</v>
      </c>
      <c r="Q214" s="39">
        <v>26.62692779</v>
      </c>
      <c r="R214" s="39">
        <v>25.764803219999997</v>
      </c>
      <c r="S214" s="39">
        <v>27.829864699999998</v>
      </c>
      <c r="T214" s="39">
        <v>0.93756039</v>
      </c>
      <c r="U214" s="39">
        <v>22.20638065</v>
      </c>
      <c r="V214" s="39">
        <v>26.07177191</v>
      </c>
      <c r="W214" s="59">
        <v>35.22378418</v>
      </c>
      <c r="Y214" s="37" t="s">
        <v>33</v>
      </c>
      <c r="Z214" s="60">
        <v>8.57982008</v>
      </c>
      <c r="AA214" s="39">
        <f>8458789.67/1000000</f>
        <v>8.45878967</v>
      </c>
      <c r="AB214" s="39">
        <v>9.3610842</v>
      </c>
      <c r="AC214" s="39">
        <v>9.828050130000001</v>
      </c>
      <c r="AD214" s="39">
        <v>10.25990491</v>
      </c>
      <c r="AE214" s="39">
        <v>0.23084169000000002</v>
      </c>
      <c r="AF214" s="39">
        <v>0</v>
      </c>
      <c r="AG214" s="39">
        <v>0</v>
      </c>
      <c r="AH214" s="39">
        <v>0</v>
      </c>
      <c r="AI214" s="39">
        <v>0</v>
      </c>
      <c r="AJ214" s="39">
        <v>0</v>
      </c>
      <c r="AK214" s="39">
        <v>0</v>
      </c>
      <c r="AL214" s="39">
        <v>0</v>
      </c>
      <c r="AM214" s="39">
        <v>0</v>
      </c>
      <c r="AN214" s="39">
        <v>0</v>
      </c>
      <c r="AO214" s="39">
        <v>0</v>
      </c>
      <c r="AP214" s="39">
        <v>0</v>
      </c>
      <c r="AQ214" s="39">
        <v>0</v>
      </c>
      <c r="AR214" s="39">
        <v>0</v>
      </c>
      <c r="AS214" s="3">
        <v>0</v>
      </c>
      <c r="AT214" s="57">
        <v>0</v>
      </c>
    </row>
    <row r="215" spans="2:46" ht="15">
      <c r="B215" s="37" t="s">
        <v>34</v>
      </c>
      <c r="C215" s="60">
        <v>10.59217806</v>
      </c>
      <c r="D215" s="39">
        <v>16.70506958</v>
      </c>
      <c r="E215" s="39">
        <v>17.065653920000003</v>
      </c>
      <c r="F215" s="39">
        <v>25.43176976</v>
      </c>
      <c r="G215" s="39">
        <v>22.11633016</v>
      </c>
      <c r="H215" s="39">
        <v>18.497666830000004</v>
      </c>
      <c r="I215" s="39">
        <v>20.42817412</v>
      </c>
      <c r="J215" s="39">
        <v>21.11079929</v>
      </c>
      <c r="K215" s="39">
        <v>20.296759190000003</v>
      </c>
      <c r="L215" s="39">
        <v>21.35674445</v>
      </c>
      <c r="M215" s="39">
        <v>22.53908741</v>
      </c>
      <c r="N215" s="39">
        <v>22.81708695</v>
      </c>
      <c r="O215" s="39">
        <v>24.54140427</v>
      </c>
      <c r="P215" s="39">
        <v>26.418894390000002</v>
      </c>
      <c r="Q215" s="39">
        <v>28.117368210000002</v>
      </c>
      <c r="R215" s="39">
        <v>30.75732622</v>
      </c>
      <c r="S215" s="39">
        <v>31.381503730000002</v>
      </c>
      <c r="T215" s="39">
        <v>1.4004824599999999</v>
      </c>
      <c r="U215" s="39">
        <v>23.60260661</v>
      </c>
      <c r="V215" s="39">
        <v>30.64910522</v>
      </c>
      <c r="W215" s="59">
        <v>37.77639196</v>
      </c>
      <c r="Y215" s="37" t="s">
        <v>34</v>
      </c>
      <c r="Z215" s="60">
        <v>8.05732535</v>
      </c>
      <c r="AA215" s="39">
        <f>7508102.57/1000000</f>
        <v>7.50810257</v>
      </c>
      <c r="AB215" s="39">
        <v>8.90677644</v>
      </c>
      <c r="AC215" s="39">
        <v>8.57365981</v>
      </c>
      <c r="AD215" s="39">
        <v>11.099745140000001</v>
      </c>
      <c r="AE215" s="39">
        <v>0.20776245000000002</v>
      </c>
      <c r="AF215" s="39">
        <v>0</v>
      </c>
      <c r="AG215" s="39">
        <v>0</v>
      </c>
      <c r="AH215" s="39">
        <v>0</v>
      </c>
      <c r="AI215" s="39">
        <v>0</v>
      </c>
      <c r="AJ215" s="39">
        <v>0</v>
      </c>
      <c r="AK215" s="39">
        <v>0</v>
      </c>
      <c r="AL215" s="39">
        <v>0</v>
      </c>
      <c r="AM215" s="39">
        <v>0</v>
      </c>
      <c r="AN215" s="39">
        <v>0</v>
      </c>
      <c r="AO215" s="39">
        <v>0</v>
      </c>
      <c r="AP215" s="39">
        <v>0</v>
      </c>
      <c r="AQ215" s="39">
        <v>0</v>
      </c>
      <c r="AR215" s="39">
        <v>0</v>
      </c>
      <c r="AS215" s="3">
        <v>0</v>
      </c>
      <c r="AT215" s="57">
        <v>0</v>
      </c>
    </row>
    <row r="216" spans="2:46" ht="15">
      <c r="B216" s="37" t="s">
        <v>35</v>
      </c>
      <c r="C216" s="60">
        <v>15.82198774</v>
      </c>
      <c r="D216" s="39">
        <v>17.74438294</v>
      </c>
      <c r="E216" s="39">
        <v>18.43218696</v>
      </c>
      <c r="F216" s="39">
        <v>17.44104763</v>
      </c>
      <c r="G216" s="39">
        <v>22.91282884</v>
      </c>
      <c r="H216" s="39">
        <v>22.352347990000002</v>
      </c>
      <c r="I216" s="39">
        <v>21.09226803</v>
      </c>
      <c r="J216" s="39">
        <v>19.72432128</v>
      </c>
      <c r="K216" s="39">
        <v>18.61994482</v>
      </c>
      <c r="L216" s="39">
        <v>19.98780126</v>
      </c>
      <c r="M216" s="39">
        <v>20.97344041</v>
      </c>
      <c r="N216" s="39">
        <v>20.62852648</v>
      </c>
      <c r="O216" s="39">
        <v>23.37744058</v>
      </c>
      <c r="P216" s="39">
        <v>27.550987420000002</v>
      </c>
      <c r="Q216" s="39">
        <v>27.11176699</v>
      </c>
      <c r="R216" s="39">
        <v>27.008852280000003</v>
      </c>
      <c r="S216" s="39">
        <v>27.73688304</v>
      </c>
      <c r="T216" s="39">
        <v>1.0610081100000002</v>
      </c>
      <c r="U216" s="39">
        <v>21.267420920000003</v>
      </c>
      <c r="V216" s="39">
        <v>29.1039725</v>
      </c>
      <c r="W216" s="59">
        <v>35.24704288</v>
      </c>
      <c r="Y216" s="37" t="s">
        <v>35</v>
      </c>
      <c r="Z216" s="60">
        <v>7.73293083</v>
      </c>
      <c r="AA216" s="39">
        <f>7903238.35/1000000</f>
        <v>7.90323835</v>
      </c>
      <c r="AB216" s="39">
        <v>8.827387199999999</v>
      </c>
      <c r="AC216" s="39">
        <v>9.701756540000002</v>
      </c>
      <c r="AD216" s="39">
        <v>9.817253800000001</v>
      </c>
      <c r="AE216" s="39">
        <v>0.27967862</v>
      </c>
      <c r="AF216" s="39">
        <v>0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0</v>
      </c>
      <c r="AM216" s="39">
        <v>0</v>
      </c>
      <c r="AN216" s="39">
        <v>0</v>
      </c>
      <c r="AO216" s="39">
        <v>0</v>
      </c>
      <c r="AP216" s="39">
        <v>0</v>
      </c>
      <c r="AQ216" s="39">
        <v>0</v>
      </c>
      <c r="AR216" s="39">
        <v>0</v>
      </c>
      <c r="AS216" s="3">
        <v>0</v>
      </c>
      <c r="AT216" s="57">
        <v>0</v>
      </c>
    </row>
    <row r="217" spans="2:46" ht="15">
      <c r="B217" s="37" t="s">
        <v>36</v>
      </c>
      <c r="C217" s="60">
        <v>14.30922206</v>
      </c>
      <c r="D217" s="39">
        <v>15.83507271</v>
      </c>
      <c r="E217" s="39">
        <v>15.89956483</v>
      </c>
      <c r="F217" s="39">
        <v>14.22595956</v>
      </c>
      <c r="G217" s="39">
        <v>16.420838290000003</v>
      </c>
      <c r="H217" s="39">
        <v>15.50450505</v>
      </c>
      <c r="I217" s="39">
        <v>16.51631942</v>
      </c>
      <c r="J217" s="39">
        <v>15.23097557</v>
      </c>
      <c r="K217" s="39">
        <v>15.51692324</v>
      </c>
      <c r="L217" s="39">
        <v>17.53591402</v>
      </c>
      <c r="M217" s="39">
        <v>16.29104292</v>
      </c>
      <c r="N217" s="39">
        <v>18.57797471</v>
      </c>
      <c r="O217" s="39">
        <v>19.589134480000002</v>
      </c>
      <c r="P217" s="39">
        <v>17.783013420000003</v>
      </c>
      <c r="Q217" s="39">
        <v>20.666246899999997</v>
      </c>
      <c r="R217" s="39">
        <v>20.31901334</v>
      </c>
      <c r="S217" s="39">
        <v>24.606119879999998</v>
      </c>
      <c r="T217" s="39">
        <v>1.88772853</v>
      </c>
      <c r="U217" s="39">
        <v>16.614522779999998</v>
      </c>
      <c r="V217" s="39">
        <v>25.501517019999998</v>
      </c>
      <c r="W217" s="59">
        <v>26.105199640000002</v>
      </c>
      <c r="Y217" s="37" t="s">
        <v>36</v>
      </c>
      <c r="Z217" s="60">
        <v>8.38977316</v>
      </c>
      <c r="AA217" s="39">
        <f>7426742.99/1000000</f>
        <v>7.42674299</v>
      </c>
      <c r="AB217" s="39">
        <v>9.8097305</v>
      </c>
      <c r="AC217" s="39">
        <v>10.374535609999999</v>
      </c>
      <c r="AD217" s="39">
        <v>10.42122323</v>
      </c>
      <c r="AE217" s="39">
        <v>0.23367325</v>
      </c>
      <c r="AF217" s="39">
        <v>0</v>
      </c>
      <c r="AG217" s="39">
        <v>0</v>
      </c>
      <c r="AH217" s="39">
        <v>0</v>
      </c>
      <c r="AI217" s="39">
        <v>0</v>
      </c>
      <c r="AJ217" s="39">
        <v>0</v>
      </c>
      <c r="AK217" s="39">
        <v>0</v>
      </c>
      <c r="AL217" s="39">
        <v>0</v>
      </c>
      <c r="AM217" s="39">
        <v>0</v>
      </c>
      <c r="AN217" s="39">
        <v>0</v>
      </c>
      <c r="AO217" s="39">
        <v>0</v>
      </c>
      <c r="AP217" s="39">
        <v>0</v>
      </c>
      <c r="AQ217" s="39">
        <v>0</v>
      </c>
      <c r="AR217" s="39">
        <v>0</v>
      </c>
      <c r="AS217" s="3">
        <v>0</v>
      </c>
      <c r="AT217" s="57">
        <v>0</v>
      </c>
    </row>
    <row r="218" spans="2:46" ht="15">
      <c r="B218" s="37" t="s">
        <v>37</v>
      </c>
      <c r="C218" s="60">
        <v>12.7589267</v>
      </c>
      <c r="D218" s="39">
        <v>15.18956569</v>
      </c>
      <c r="E218" s="39">
        <v>14.031779290000001</v>
      </c>
      <c r="F218" s="39">
        <v>15.65785736</v>
      </c>
      <c r="G218" s="39">
        <v>20.159674120000002</v>
      </c>
      <c r="H218" s="39">
        <v>16.88457775</v>
      </c>
      <c r="I218" s="39">
        <v>16.89023746</v>
      </c>
      <c r="J218" s="39">
        <v>17.22456683</v>
      </c>
      <c r="K218" s="39">
        <v>18.065548850000003</v>
      </c>
      <c r="L218" s="39">
        <v>20.53237377</v>
      </c>
      <c r="M218" s="61">
        <v>21.48467737</v>
      </c>
      <c r="N218" s="39">
        <v>20.11860662</v>
      </c>
      <c r="O218" s="39">
        <v>21.2519351</v>
      </c>
      <c r="P218" s="39">
        <v>23.687651829999997</v>
      </c>
      <c r="Q218" s="39">
        <v>24.91050676</v>
      </c>
      <c r="R218" s="39">
        <v>32.06379896</v>
      </c>
      <c r="S218" s="39">
        <v>27.20516341</v>
      </c>
      <c r="T218" s="39">
        <v>5.476890099999999</v>
      </c>
      <c r="U218" s="39">
        <v>13.157523320000001</v>
      </c>
      <c r="V218" s="39">
        <v>27.68570234</v>
      </c>
      <c r="W218" s="59"/>
      <c r="Y218" s="37" t="s">
        <v>37</v>
      </c>
      <c r="Z218" s="60">
        <v>10.867990019999999</v>
      </c>
      <c r="AA218" s="39">
        <f>8824296.3/1000000</f>
        <v>8.8242963</v>
      </c>
      <c r="AB218" s="39">
        <v>9.14913724</v>
      </c>
      <c r="AC218" s="39">
        <v>12.3360184</v>
      </c>
      <c r="AD218" s="39">
        <v>19.74335878</v>
      </c>
      <c r="AE218" s="39">
        <v>0.24995551000000002</v>
      </c>
      <c r="AF218" s="39">
        <v>0</v>
      </c>
      <c r="AG218" s="39">
        <v>0</v>
      </c>
      <c r="AH218" s="39">
        <v>0</v>
      </c>
      <c r="AI218" s="39">
        <v>0</v>
      </c>
      <c r="AJ218" s="39">
        <v>0</v>
      </c>
      <c r="AK218" s="39">
        <v>0</v>
      </c>
      <c r="AL218" s="39">
        <v>0</v>
      </c>
      <c r="AM218" s="39">
        <v>0</v>
      </c>
      <c r="AN218" s="39">
        <v>0</v>
      </c>
      <c r="AO218" s="39">
        <v>0</v>
      </c>
      <c r="AP218" s="39">
        <v>0</v>
      </c>
      <c r="AQ218" s="39">
        <v>0</v>
      </c>
      <c r="AR218" s="39">
        <v>0</v>
      </c>
      <c r="AS218" s="3">
        <v>0</v>
      </c>
      <c r="AT218" s="57"/>
    </row>
    <row r="219" spans="2:46" ht="15.75" thickBot="1">
      <c r="B219" s="37" t="s">
        <v>38</v>
      </c>
      <c r="C219" s="60">
        <v>27.5055482</v>
      </c>
      <c r="D219" s="39">
        <v>30.42650663</v>
      </c>
      <c r="E219" s="39">
        <v>28.13221408</v>
      </c>
      <c r="F219" s="39">
        <v>24.44807375</v>
      </c>
      <c r="G219" s="39">
        <v>29.421786920000002</v>
      </c>
      <c r="H219" s="39">
        <v>25.9144329</v>
      </c>
      <c r="I219" s="39">
        <v>28.62140673</v>
      </c>
      <c r="J219" s="39">
        <v>26.77993179</v>
      </c>
      <c r="K219" s="39">
        <v>28.06816704</v>
      </c>
      <c r="L219" s="39">
        <v>26.310618859999998</v>
      </c>
      <c r="M219" s="39">
        <v>29.3531159</v>
      </c>
      <c r="N219" s="39">
        <v>29.277734170000002</v>
      </c>
      <c r="O219" s="39">
        <v>33.59899641</v>
      </c>
      <c r="P219" s="39">
        <v>26.5375863</v>
      </c>
      <c r="Q219" s="39">
        <v>24.39815305</v>
      </c>
      <c r="R219" s="39">
        <v>22.178540920000003</v>
      </c>
      <c r="S219" s="39">
        <v>26.8100268</v>
      </c>
      <c r="T219" s="39">
        <v>7.080690049999999</v>
      </c>
      <c r="U219" s="39">
        <v>35.39957665</v>
      </c>
      <c r="V219" s="39">
        <v>29.28791574</v>
      </c>
      <c r="W219" s="59"/>
      <c r="Y219" s="37" t="s">
        <v>38</v>
      </c>
      <c r="Z219" s="67">
        <v>10.19627958</v>
      </c>
      <c r="AA219" s="68">
        <f>9301018.27/1000000</f>
        <v>9.30101827</v>
      </c>
      <c r="AB219" s="68">
        <v>10.055792140000001</v>
      </c>
      <c r="AC219" s="68">
        <v>11.06453012</v>
      </c>
      <c r="AD219" s="68">
        <v>4.77377071</v>
      </c>
      <c r="AE219" s="68">
        <v>0.14362897</v>
      </c>
      <c r="AF219" s="68">
        <v>0</v>
      </c>
      <c r="AG219" s="68">
        <v>0</v>
      </c>
      <c r="AH219" s="68">
        <v>0</v>
      </c>
      <c r="AI219" s="68">
        <v>0</v>
      </c>
      <c r="AJ219" s="68">
        <v>0</v>
      </c>
      <c r="AK219" s="68">
        <v>0</v>
      </c>
      <c r="AL219" s="68">
        <v>0</v>
      </c>
      <c r="AM219" s="68">
        <v>0</v>
      </c>
      <c r="AN219" s="68">
        <v>0</v>
      </c>
      <c r="AO219" s="68">
        <v>0</v>
      </c>
      <c r="AP219" s="68">
        <v>0</v>
      </c>
      <c r="AQ219" s="68">
        <v>0</v>
      </c>
      <c r="AR219" s="68">
        <v>0</v>
      </c>
      <c r="AS219" s="70">
        <v>0</v>
      </c>
      <c r="AT219" s="69"/>
    </row>
    <row r="220" spans="2:46" ht="15.75" thickBot="1">
      <c r="B220" s="35" t="s">
        <v>3</v>
      </c>
      <c r="C220" s="43">
        <f>SUM(C208:C219)</f>
        <v>163.4808233</v>
      </c>
      <c r="D220" s="36">
        <f>SUM(D208:D219)</f>
        <v>190.86408667999999</v>
      </c>
      <c r="E220" s="36">
        <f aca="true" t="shared" si="18" ref="E220:R220">SUM(E208:E219)</f>
        <v>197.15455137000004</v>
      </c>
      <c r="F220" s="36">
        <f t="shared" si="18"/>
        <v>202.21291232</v>
      </c>
      <c r="G220" s="36">
        <f t="shared" si="18"/>
        <v>228.96883953000003</v>
      </c>
      <c r="H220" s="36">
        <f t="shared" si="18"/>
        <v>227.92386969000003</v>
      </c>
      <c r="I220" s="36">
        <f t="shared" si="18"/>
        <v>225.61674244000002</v>
      </c>
      <c r="J220" s="36">
        <f t="shared" si="18"/>
        <v>224.37567126000002</v>
      </c>
      <c r="K220" s="36">
        <f t="shared" si="18"/>
        <v>219.47553879</v>
      </c>
      <c r="L220" s="36">
        <f t="shared" si="18"/>
        <v>231.78484152</v>
      </c>
      <c r="M220" s="36">
        <f t="shared" si="18"/>
        <v>239.85570047000002</v>
      </c>
      <c r="N220" s="36">
        <f t="shared" si="18"/>
        <v>251.52287519000004</v>
      </c>
      <c r="O220" s="36">
        <f t="shared" si="18"/>
        <v>262.52304062999997</v>
      </c>
      <c r="P220" s="36">
        <f t="shared" si="18"/>
        <v>279.71894734</v>
      </c>
      <c r="Q220" s="36">
        <f t="shared" si="18"/>
        <v>300.25946994000003</v>
      </c>
      <c r="R220" s="36">
        <f t="shared" si="18"/>
        <v>312.00930666</v>
      </c>
      <c r="S220" s="36">
        <v>338.11026805</v>
      </c>
      <c r="T220" s="36">
        <f>SUM(T208:T219)</f>
        <v>117.23829287000002</v>
      </c>
      <c r="U220" s="36">
        <v>213.63944811</v>
      </c>
      <c r="V220" s="79">
        <v>322.5485538</v>
      </c>
      <c r="W220" s="58">
        <f>SUM(W208:W219)</f>
        <v>330.77103377</v>
      </c>
      <c r="Y220" s="35" t="s">
        <v>3</v>
      </c>
      <c r="Z220" s="43">
        <f>SUM(Z208:Z219)</f>
        <v>96.89094796999998</v>
      </c>
      <c r="AA220" s="36">
        <f>SUM(AA208:AA219)</f>
        <v>92.46377799999999</v>
      </c>
      <c r="AB220" s="36">
        <f aca="true" t="shared" si="19" ref="AB220:AO220">SUM(AB208:AB219)</f>
        <v>100.48967685</v>
      </c>
      <c r="AC220" s="36">
        <f t="shared" si="19"/>
        <v>110.94564428</v>
      </c>
      <c r="AD220" s="36">
        <f t="shared" si="19"/>
        <v>121.64655203999997</v>
      </c>
      <c r="AE220" s="36">
        <f t="shared" si="19"/>
        <v>2.8633235</v>
      </c>
      <c r="AF220" s="36">
        <f t="shared" si="19"/>
        <v>0</v>
      </c>
      <c r="AG220" s="36">
        <f t="shared" si="19"/>
        <v>0</v>
      </c>
      <c r="AH220" s="36">
        <f t="shared" si="19"/>
        <v>0</v>
      </c>
      <c r="AI220" s="36">
        <f t="shared" si="19"/>
        <v>0</v>
      </c>
      <c r="AJ220" s="36">
        <f t="shared" si="19"/>
        <v>0</v>
      </c>
      <c r="AK220" s="36">
        <f t="shared" si="19"/>
        <v>0</v>
      </c>
      <c r="AL220" s="36">
        <f t="shared" si="19"/>
        <v>0</v>
      </c>
      <c r="AM220" s="36">
        <f t="shared" si="19"/>
        <v>0</v>
      </c>
      <c r="AN220" s="36">
        <f t="shared" si="19"/>
        <v>0</v>
      </c>
      <c r="AO220" s="36">
        <f t="shared" si="19"/>
        <v>0</v>
      </c>
      <c r="AP220" s="36">
        <v>0</v>
      </c>
      <c r="AQ220" s="36">
        <f>SUM(AQ208:AQ219)</f>
        <v>0</v>
      </c>
      <c r="AR220" s="36">
        <v>0</v>
      </c>
      <c r="AS220" s="36">
        <v>0</v>
      </c>
      <c r="AT220" s="58">
        <v>0</v>
      </c>
    </row>
    <row r="221" spans="2:38" ht="15">
      <c r="B221" s="4" t="s">
        <v>4</v>
      </c>
      <c r="C221" s="4"/>
      <c r="D221" s="4"/>
      <c r="E221" s="4"/>
      <c r="F221" s="5"/>
      <c r="G221" s="5"/>
      <c r="H221" s="5"/>
      <c r="I221" s="5"/>
      <c r="J221" s="5"/>
      <c r="K221" s="5"/>
      <c r="L221" s="5"/>
      <c r="M221" s="5"/>
      <c r="N221" s="5"/>
      <c r="O221" s="5"/>
      <c r="U221" s="39"/>
      <c r="X221" s="4"/>
      <c r="Y221" s="4" t="s">
        <v>4</v>
      </c>
      <c r="Z221" s="4"/>
      <c r="AA221" s="4"/>
      <c r="AB221" s="4"/>
      <c r="AC221" s="5"/>
      <c r="AD221" s="5"/>
      <c r="AE221" s="5"/>
      <c r="AF221" s="5"/>
      <c r="AG221" s="5"/>
      <c r="AH221" s="5"/>
      <c r="AI221" s="5"/>
      <c r="AJ221" s="5"/>
      <c r="AK221" s="5"/>
      <c r="AL221" s="5"/>
    </row>
    <row r="222" spans="2:38" ht="15">
      <c r="B222" s="73" t="s">
        <v>5</v>
      </c>
      <c r="C222" s="73"/>
      <c r="D222" s="73"/>
      <c r="E222" s="73"/>
      <c r="F222" s="6"/>
      <c r="G222" s="6"/>
      <c r="H222" s="6"/>
      <c r="I222" s="6"/>
      <c r="J222" s="6"/>
      <c r="K222" s="6"/>
      <c r="L222" s="6"/>
      <c r="M222" s="6"/>
      <c r="N222" s="6"/>
      <c r="O222" s="6"/>
      <c r="X222" s="50"/>
      <c r="Y222" s="50" t="s">
        <v>5</v>
      </c>
      <c r="Z222" s="50"/>
      <c r="AA222" s="50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</row>
    <row r="223" spans="2:15" ht="4.5" customHeight="1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</row>
    <row r="224" spans="2:23" ht="28.5" customHeight="1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</row>
    <row r="225" ht="15"/>
  </sheetData>
  <sheetProtection/>
  <mergeCells count="77">
    <mergeCell ref="B90:W90"/>
    <mergeCell ref="B46:W46"/>
    <mergeCell ref="Y157:AT157"/>
    <mergeCell ref="Y115:AT115"/>
    <mergeCell ref="Y138:AT138"/>
    <mergeCell ref="B158:W158"/>
    <mergeCell ref="Y69:AT69"/>
    <mergeCell ref="B69:W69"/>
    <mergeCell ref="B138:W138"/>
    <mergeCell ref="Y158:AT158"/>
    <mergeCell ref="B224:W224"/>
    <mergeCell ref="B178:W178"/>
    <mergeCell ref="B134:W134"/>
    <mergeCell ref="Y205:AT205"/>
    <mergeCell ref="B157:W157"/>
    <mergeCell ref="B3:W3"/>
    <mergeCell ref="Y24:AT24"/>
    <mergeCell ref="B24:W24"/>
    <mergeCell ref="B48:W48"/>
    <mergeCell ref="Y48:AT48"/>
    <mergeCell ref="Y181:AT181"/>
    <mergeCell ref="Y182:AT182"/>
    <mergeCell ref="B204:W204"/>
    <mergeCell ref="Y204:AT204"/>
    <mergeCell ref="Y137:AT137"/>
    <mergeCell ref="B180:W180"/>
    <mergeCell ref="Y180:AT180"/>
    <mergeCell ref="Y203:AT203"/>
    <mergeCell ref="B203:W203"/>
    <mergeCell ref="B181:W181"/>
    <mergeCell ref="Y159:AT159"/>
    <mergeCell ref="Y94:AT94"/>
    <mergeCell ref="B114:W114"/>
    <mergeCell ref="B115:W115"/>
    <mergeCell ref="Y114:AT114"/>
    <mergeCell ref="B132:E132"/>
    <mergeCell ref="Y113:AT113"/>
    <mergeCell ref="B113:W113"/>
    <mergeCell ref="B136:W136"/>
    <mergeCell ref="Y26:AT26"/>
    <mergeCell ref="B137:W137"/>
    <mergeCell ref="Y49:AT49"/>
    <mergeCell ref="Y50:AT50"/>
    <mergeCell ref="B70:W70"/>
    <mergeCell ref="B71:W71"/>
    <mergeCell ref="Y70:AT70"/>
    <mergeCell ref="Y71:AT71"/>
    <mergeCell ref="Y92:AT92"/>
    <mergeCell ref="Y136:AT136"/>
    <mergeCell ref="B199:E199"/>
    <mergeCell ref="B222:E222"/>
    <mergeCell ref="B200:K201"/>
    <mergeCell ref="B176:E176"/>
    <mergeCell ref="B155:E155"/>
    <mergeCell ref="B205:W205"/>
    <mergeCell ref="B159:W159"/>
    <mergeCell ref="B182:W182"/>
    <mergeCell ref="Y3:AT3"/>
    <mergeCell ref="Y4:AT4"/>
    <mergeCell ref="B93:W93"/>
    <mergeCell ref="B94:W94"/>
    <mergeCell ref="B92:W92"/>
    <mergeCell ref="B43:E43"/>
    <mergeCell ref="B88:E88"/>
    <mergeCell ref="B22:E22"/>
    <mergeCell ref="B49:W49"/>
    <mergeCell ref="B50:W50"/>
    <mergeCell ref="Y5:AT5"/>
    <mergeCell ref="B4:W4"/>
    <mergeCell ref="B5:W5"/>
    <mergeCell ref="B111:E111"/>
    <mergeCell ref="B67:E67"/>
    <mergeCell ref="C91:G91"/>
    <mergeCell ref="Y93:AT93"/>
    <mergeCell ref="B25:W25"/>
    <mergeCell ref="B26:W26"/>
    <mergeCell ref="Y25:AT25"/>
  </mergeCells>
  <printOptions horizontalCentered="1" verticalCentered="1"/>
  <pageMargins left="0.15748031496062992" right="0.31496062992125984" top="0.7480314960629921" bottom="0.7480314960629921" header="0.31496062992125984" footer="0.31496062992125984"/>
  <pageSetup fitToHeight="0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 Enrique De León Meneses</dc:creator>
  <cp:keywords/>
  <dc:description/>
  <cp:lastModifiedBy>Saul Enrique De León Meneses</cp:lastModifiedBy>
  <cp:lastPrinted>2019-02-19T17:07:20Z</cp:lastPrinted>
  <dcterms:created xsi:type="dcterms:W3CDTF">2013-11-19T18:13:29Z</dcterms:created>
  <dcterms:modified xsi:type="dcterms:W3CDTF">2023-11-15T15:06:31Z</dcterms:modified>
  <cp:category/>
  <cp:version/>
  <cp:contentType/>
  <cp:contentStatus/>
</cp:coreProperties>
</file>