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showInkAnnotation="0"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8_{EDCFD78A-4645-45AE-823C-487A4EF8A6B2}" xr6:coauthVersionLast="47" xr6:coauthVersionMax="47" xr10:uidLastSave="{00000000-0000-0000-0000-000000000000}"/>
  <bookViews>
    <workbookView xWindow="23880" yWindow="-120" windowWidth="29040" windowHeight="15720" xr2:uid="{00000000-000D-0000-FFFF-FFFF00000000}"/>
  </bookViews>
  <sheets>
    <sheet name="Bono_Cupón_Irregular" sheetId="1" r:id="rId1"/>
  </sheets>
  <externalReferences>
    <externalReference r:id="rId2"/>
    <externalReference r:id="rId3"/>
  </externalReferences>
  <definedNames>
    <definedName name="Año_Calendario">[1]Hoja2!$AE$3</definedName>
    <definedName name="_xlnm.Print_Area" localSheetId="0">Bono_Cupón_Irregular!$A$1:$F$66</definedName>
    <definedName name="CeldasBlock" comment="Para que el usuario no cambie las fórmulas" localSheetId="0">Bono_Cupón_Irregular!$A$16:$P$92,Bono_Cupón_Irregular!$G$1:$P$16,Bono_Cupón_Irregular!$A$1:$G$6</definedName>
    <definedName name="DicDom1">DATE(Año_Calendario,12,1)-WEEKDAY(DATE(Año_Calendario,12,1))+1</definedName>
    <definedName name="FechasImportantes">'[2]Calendario familiar'!$D$6:$G$20</definedName>
    <definedName name="NovDom1">DATE(Año_Calendario,11,1)-WEEKDAY(DATE(Año_Calendario,11,1))+1</definedName>
    <definedName name="solver_adj" localSheetId="0" hidden="1">Bono_Cupón_Irregular!$F$11</definedName>
    <definedName name="solver_cvg" localSheetId="0" hidden="1">0.00000001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Bono_Cupón_Irregular!$O$42</definedName>
    <definedName name="solver_pre" localSheetId="0" hidden="1">0.00000001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1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99.5</definedName>
    <definedName name="solver_ver" localSheetId="0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19" i="1" l="1"/>
  <c r="F17" i="1"/>
  <c r="N20" i="1" l="1"/>
  <c r="J48" i="1"/>
  <c r="M48" i="1"/>
  <c r="B38" i="1" l="1"/>
  <c r="F23" i="1"/>
  <c r="F21" i="1"/>
  <c r="F18" i="1"/>
  <c r="G12" i="1"/>
  <c r="N14" i="1" l="1"/>
  <c r="N21" i="1"/>
  <c r="O20" i="1" s="1"/>
  <c r="O35" i="1" s="1"/>
  <c r="N13" i="1"/>
  <c r="P16" i="1"/>
  <c r="O22" i="1"/>
  <c r="A40" i="1"/>
  <c r="A41" i="1" s="1"/>
  <c r="B39" i="1"/>
  <c r="F20" i="1" l="1"/>
  <c r="O36" i="1" s="1"/>
  <c r="C39" i="1"/>
  <c r="O13" i="1"/>
  <c r="P13" i="1" s="1"/>
  <c r="B40" i="1"/>
  <c r="A42" i="1"/>
  <c r="D39" i="1"/>
  <c r="M40" i="1" l="1"/>
  <c r="F24" i="1" s="1"/>
  <c r="O28" i="1"/>
  <c r="O37" i="1" s="1"/>
  <c r="N42" i="1" s="1"/>
  <c r="D40" i="1"/>
  <c r="C40" i="1"/>
  <c r="G39" i="1"/>
  <c r="E39" i="1"/>
  <c r="A43" i="1"/>
  <c r="B41" i="1"/>
  <c r="N43" i="1" l="1"/>
  <c r="O42" i="1" s="1"/>
  <c r="M47" i="1" s="1"/>
  <c r="M49" i="1" s="1"/>
  <c r="M50" i="1" s="1"/>
  <c r="J50" i="1" s="1"/>
  <c r="O44" i="1"/>
  <c r="G40" i="1"/>
  <c r="E40" i="1"/>
  <c r="C41" i="1"/>
  <c r="F39" i="1"/>
  <c r="B42" i="1"/>
  <c r="D41" i="1"/>
  <c r="A44" i="1"/>
  <c r="G41" i="1" l="1"/>
  <c r="F40" i="1"/>
  <c r="D42" i="1"/>
  <c r="C42" i="1"/>
  <c r="E41" i="1"/>
  <c r="B43" i="1"/>
  <c r="A45" i="1"/>
  <c r="E42" i="1" l="1"/>
  <c r="G42" i="1"/>
  <c r="C43" i="1"/>
  <c r="F41" i="1"/>
  <c r="B44" i="1"/>
  <c r="A46" i="1"/>
  <c r="D43" i="1"/>
  <c r="F42" i="1" l="1"/>
  <c r="G43" i="1"/>
  <c r="C44" i="1"/>
  <c r="E43" i="1"/>
  <c r="B45" i="1"/>
  <c r="D44" i="1"/>
  <c r="A47" i="1"/>
  <c r="G44" i="1" l="1"/>
  <c r="C45" i="1"/>
  <c r="F43" i="1"/>
  <c r="B46" i="1"/>
  <c r="A48" i="1"/>
  <c r="D45" i="1"/>
  <c r="E44" i="1"/>
  <c r="G45" i="1" l="1"/>
  <c r="F44" i="1"/>
  <c r="D46" i="1"/>
  <c r="C46" i="1"/>
  <c r="B47" i="1"/>
  <c r="A49" i="1"/>
  <c r="E45" i="1"/>
  <c r="G46" i="1" l="1"/>
  <c r="E46" i="1"/>
  <c r="D47" i="1"/>
  <c r="C47" i="1"/>
  <c r="F45" i="1"/>
  <c r="A50" i="1"/>
  <c r="B48" i="1"/>
  <c r="C48" i="1" s="1"/>
  <c r="F46" i="1" l="1"/>
  <c r="G47" i="1"/>
  <c r="E47" i="1"/>
  <c r="D48" i="1"/>
  <c r="G48" i="1" s="1"/>
  <c r="A51" i="1"/>
  <c r="B49" i="1"/>
  <c r="F47" i="1" l="1"/>
  <c r="E48" i="1"/>
  <c r="F48" i="1" s="1"/>
  <c r="D49" i="1"/>
  <c r="C49" i="1"/>
  <c r="B50" i="1"/>
  <c r="A52" i="1"/>
  <c r="E49" i="1" l="1"/>
  <c r="G49" i="1"/>
  <c r="D50" i="1"/>
  <c r="C50" i="1"/>
  <c r="A53" i="1"/>
  <c r="B51" i="1"/>
  <c r="C51" i="1" s="1"/>
  <c r="G50" i="1" l="1"/>
  <c r="F49" i="1"/>
  <c r="E50" i="1"/>
  <c r="D51" i="1"/>
  <c r="G51" i="1" s="1"/>
  <c r="B52" i="1"/>
  <c r="A54" i="1"/>
  <c r="F50" i="1" l="1"/>
  <c r="E51" i="1"/>
  <c r="F51" i="1" s="1"/>
  <c r="D52" i="1"/>
  <c r="C52" i="1"/>
  <c r="A55" i="1"/>
  <c r="B53" i="1"/>
  <c r="C53" i="1" s="1"/>
  <c r="G52" i="1" l="1"/>
  <c r="E52" i="1"/>
  <c r="D53" i="1"/>
  <c r="G53" i="1" s="1"/>
  <c r="A56" i="1"/>
  <c r="B54" i="1"/>
  <c r="F52" i="1" l="1"/>
  <c r="E53" i="1"/>
  <c r="F53" i="1" s="1"/>
  <c r="D54" i="1"/>
  <c r="C54" i="1"/>
  <c r="A57" i="1"/>
  <c r="B55" i="1"/>
  <c r="G54" i="1" l="1"/>
  <c r="E54" i="1"/>
  <c r="D55" i="1"/>
  <c r="C55" i="1"/>
  <c r="B56" i="1"/>
  <c r="A58" i="1"/>
  <c r="F54" i="1" l="1"/>
  <c r="G55" i="1"/>
  <c r="E55" i="1"/>
  <c r="D56" i="1"/>
  <c r="C56" i="1"/>
  <c r="A59" i="1"/>
  <c r="B57" i="1"/>
  <c r="G56" i="1" l="1"/>
  <c r="F55" i="1"/>
  <c r="E56" i="1"/>
  <c r="D57" i="1"/>
  <c r="C57" i="1"/>
  <c r="A60" i="1"/>
  <c r="B58" i="1"/>
  <c r="F56" i="1" l="1"/>
  <c r="G57" i="1"/>
  <c r="E57" i="1"/>
  <c r="D58" i="1"/>
  <c r="C58" i="1"/>
  <c r="A61" i="1"/>
  <c r="B59" i="1"/>
  <c r="G58" i="1" l="1"/>
  <c r="F57" i="1"/>
  <c r="E58" i="1"/>
  <c r="D59" i="1"/>
  <c r="C59" i="1"/>
  <c r="B60" i="1"/>
  <c r="A62" i="1"/>
  <c r="F58" i="1" l="1"/>
  <c r="G59" i="1"/>
  <c r="D60" i="1"/>
  <c r="E59" i="1"/>
  <c r="C60" i="1"/>
  <c r="A63" i="1"/>
  <c r="B61" i="1"/>
  <c r="G60" i="1" l="1"/>
  <c r="F59" i="1"/>
  <c r="E60" i="1"/>
  <c r="D61" i="1"/>
  <c r="C61" i="1"/>
  <c r="A64" i="1"/>
  <c r="B62" i="1"/>
  <c r="F60" i="1" l="1"/>
  <c r="G61" i="1"/>
  <c r="E61" i="1"/>
  <c r="D62" i="1"/>
  <c r="C62" i="1"/>
  <c r="A65" i="1"/>
  <c r="B63" i="1"/>
  <c r="F61" i="1" l="1"/>
  <c r="E62" i="1"/>
  <c r="G62" i="1"/>
  <c r="D63" i="1"/>
  <c r="C63" i="1"/>
  <c r="B64" i="1"/>
  <c r="A66" i="1"/>
  <c r="E63" i="1" l="1"/>
  <c r="F62" i="1"/>
  <c r="G63" i="1"/>
  <c r="D64" i="1"/>
  <c r="C64" i="1"/>
  <c r="A67" i="1"/>
  <c r="B65" i="1"/>
  <c r="C65" i="1" s="1"/>
  <c r="E64" i="1" l="1"/>
  <c r="F63" i="1"/>
  <c r="G64" i="1"/>
  <c r="D65" i="1"/>
  <c r="G65" i="1" s="1"/>
  <c r="A68" i="1"/>
  <c r="B66" i="1"/>
  <c r="E65" i="1" l="1"/>
  <c r="F65" i="1" s="1"/>
  <c r="F64" i="1"/>
  <c r="D66" i="1"/>
  <c r="C66" i="1"/>
  <c r="B67" i="1"/>
  <c r="A69" i="1"/>
  <c r="E66" i="1" l="1"/>
  <c r="G66" i="1"/>
  <c r="D67" i="1"/>
  <c r="C67" i="1"/>
  <c r="A70" i="1"/>
  <c r="B68" i="1"/>
  <c r="F66" i="1" l="1"/>
  <c r="E67" i="1"/>
  <c r="G67" i="1"/>
  <c r="D68" i="1"/>
  <c r="C68" i="1"/>
  <c r="B69" i="1"/>
  <c r="C69" i="1" s="1"/>
  <c r="A71" i="1"/>
  <c r="E68" i="1" l="1"/>
  <c r="G68" i="1"/>
  <c r="F67" i="1"/>
  <c r="D69" i="1"/>
  <c r="G69" i="1" s="1"/>
  <c r="A72" i="1"/>
  <c r="B70" i="1"/>
  <c r="F68" i="1" l="1"/>
  <c r="E69" i="1"/>
  <c r="F69" i="1" s="1"/>
  <c r="D70" i="1"/>
  <c r="C70" i="1"/>
  <c r="A73" i="1"/>
  <c r="B71" i="1"/>
  <c r="G70" i="1" l="1"/>
  <c r="E70" i="1"/>
  <c r="D71" i="1"/>
  <c r="C71" i="1"/>
  <c r="B72" i="1"/>
  <c r="C72" i="1" s="1"/>
  <c r="A74" i="1"/>
  <c r="F70" i="1" l="1"/>
  <c r="G71" i="1"/>
  <c r="E71" i="1"/>
  <c r="D72" i="1"/>
  <c r="G72" i="1" s="1"/>
  <c r="A75" i="1"/>
  <c r="B73" i="1"/>
  <c r="F71" i="1" l="1"/>
  <c r="E72" i="1"/>
  <c r="F72" i="1" s="1"/>
  <c r="D73" i="1"/>
  <c r="C73" i="1"/>
  <c r="A76" i="1"/>
  <c r="B74" i="1"/>
  <c r="G73" i="1" l="1"/>
  <c r="E73" i="1"/>
  <c r="D74" i="1"/>
  <c r="C74" i="1"/>
  <c r="B75" i="1"/>
  <c r="A77" i="1"/>
  <c r="F73" i="1" l="1"/>
  <c r="G74" i="1"/>
  <c r="E74" i="1"/>
  <c r="D75" i="1"/>
  <c r="C75" i="1"/>
  <c r="B76" i="1"/>
  <c r="D76" i="1" s="1"/>
  <c r="A78" i="1"/>
  <c r="G75" i="1" l="1"/>
  <c r="F74" i="1"/>
  <c r="E75" i="1"/>
  <c r="F75" i="1" s="1"/>
  <c r="C76" i="1"/>
  <c r="E76" i="1" s="1"/>
  <c r="A79" i="1"/>
  <c r="B77" i="1"/>
  <c r="D77" i="1" s="1"/>
  <c r="G76" i="1" l="1"/>
  <c r="F76" i="1" s="1"/>
  <c r="C77" i="1"/>
  <c r="E77" i="1" s="1"/>
  <c r="A80" i="1"/>
  <c r="B78" i="1"/>
  <c r="D78" i="1" s="1"/>
  <c r="G77" i="1" l="1"/>
  <c r="F77" i="1" s="1"/>
  <c r="C78" i="1"/>
  <c r="E78" i="1" s="1"/>
  <c r="B79" i="1"/>
  <c r="D79" i="1" s="1"/>
  <c r="A81" i="1"/>
  <c r="G78" i="1" l="1"/>
  <c r="F78" i="1" s="1"/>
  <c r="C79" i="1"/>
  <c r="E79" i="1" s="1"/>
  <c r="A82" i="1"/>
  <c r="B80" i="1"/>
  <c r="D80" i="1" s="1"/>
  <c r="G79" i="1" l="1"/>
  <c r="F79" i="1" s="1"/>
  <c r="C80" i="1"/>
  <c r="E80" i="1" s="1"/>
  <c r="A83" i="1"/>
  <c r="B81" i="1"/>
  <c r="D81" i="1" s="1"/>
  <c r="G80" i="1" l="1"/>
  <c r="F80" i="1" s="1"/>
  <c r="C81" i="1"/>
  <c r="E81" i="1" s="1"/>
  <c r="A84" i="1"/>
  <c r="B82" i="1"/>
  <c r="D82" i="1" s="1"/>
  <c r="G81" i="1" l="1"/>
  <c r="F81" i="1" s="1"/>
  <c r="C82" i="1"/>
  <c r="E82" i="1" s="1"/>
  <c r="B83" i="1"/>
  <c r="D83" i="1" s="1"/>
  <c r="A85" i="1"/>
  <c r="G82" i="1" l="1"/>
  <c r="F82" i="1" s="1"/>
  <c r="C83" i="1"/>
  <c r="E83" i="1" s="1"/>
  <c r="B84" i="1"/>
  <c r="D84" i="1" s="1"/>
  <c r="A86" i="1"/>
  <c r="G83" i="1" l="1"/>
  <c r="F83" i="1" s="1"/>
  <c r="C84" i="1"/>
  <c r="E84" i="1" s="1"/>
  <c r="B85" i="1"/>
  <c r="D85" i="1" s="1"/>
  <c r="A87" i="1"/>
  <c r="G84" i="1" l="1"/>
  <c r="F84" i="1" s="1"/>
  <c r="C85" i="1"/>
  <c r="E85" i="1" s="1"/>
  <c r="B86" i="1"/>
  <c r="D86" i="1" s="1"/>
  <c r="A88" i="1"/>
  <c r="G85" i="1" l="1"/>
  <c r="F85" i="1" s="1"/>
  <c r="C86" i="1"/>
  <c r="E86" i="1" s="1"/>
  <c r="A89" i="1"/>
  <c r="B87" i="1"/>
  <c r="D87" i="1" s="1"/>
  <c r="G86" i="1" l="1"/>
  <c r="F86" i="1" s="1"/>
  <c r="C87" i="1"/>
  <c r="E87" i="1" s="1"/>
  <c r="B88" i="1"/>
  <c r="D88" i="1" s="1"/>
  <c r="G87" i="1" l="1"/>
  <c r="F87" i="1" s="1"/>
  <c r="C88" i="1"/>
  <c r="E88" i="1" s="1"/>
  <c r="B89" i="1"/>
  <c r="C89" i="1" s="1"/>
  <c r="D89" i="1" l="1"/>
  <c r="G89" i="1" s="1"/>
  <c r="G88" i="1"/>
  <c r="F88" i="1" s="1"/>
  <c r="E89" i="1" l="1"/>
  <c r="F89" i="1" s="1"/>
  <c r="E38" i="1" s="1"/>
  <c r="S3" i="1" l="1"/>
  <c r="S8" i="1"/>
  <c r="S6" i="1" s="1"/>
</calcChain>
</file>

<file path=xl/sharedStrings.xml><?xml version="1.0" encoding="utf-8"?>
<sst xmlns="http://schemas.openxmlformats.org/spreadsheetml/2006/main" count="60" uniqueCount="54">
  <si>
    <t>Cálculo a través de fórmulas (Utilizando el valor actual de una renta constante)</t>
  </si>
  <si>
    <t>Valor nominal demandado</t>
  </si>
  <si>
    <t>Cupón</t>
  </si>
  <si>
    <t>Rendimiento</t>
  </si>
  <si>
    <r>
      <t xml:space="preserve">Base cálculo (Ingrese: </t>
    </r>
    <r>
      <rPr>
        <sz val="11"/>
        <color rgb="FF0000FF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 xml:space="preserve">= 30/360; ó, </t>
    </r>
    <r>
      <rPr>
        <sz val="11"/>
        <color rgb="FF0000FF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 Actual/Actual)</t>
    </r>
  </si>
  <si>
    <t>P</t>
  </si>
  <si>
    <t>Valor nominal (de referencia asume 100)</t>
  </si>
  <si>
    <t>Numerador</t>
  </si>
  <si>
    <t>Frecuencia de pago de cupón</t>
  </si>
  <si>
    <t>Denominador</t>
  </si>
  <si>
    <t>Cálculo automático de variables:</t>
  </si>
  <si>
    <t>Comprobación:</t>
  </si>
  <si>
    <t>C</t>
  </si>
  <si>
    <t>Valor de intereses a pagar periódicamente</t>
  </si>
  <si>
    <t>K</t>
  </si>
  <si>
    <t>Número de cupones por liquidar, incluyendo el vigente</t>
  </si>
  <si>
    <t>Dc</t>
  </si>
  <si>
    <t>Días entre último cupón y fecha de liquidación</t>
  </si>
  <si>
    <t>Dp</t>
  </si>
  <si>
    <t>Días entre fecha de liquidación y próximo cupón</t>
  </si>
  <si>
    <t>D</t>
  </si>
  <si>
    <t>días de cada pago periódico de cupón</t>
  </si>
  <si>
    <t>b</t>
  </si>
  <si>
    <t>Base cálculo días del año</t>
  </si>
  <si>
    <t>Comprobación</t>
  </si>
  <si>
    <t>i</t>
  </si>
  <si>
    <t xml:space="preserve">Rendimiento nominal semestral </t>
  </si>
  <si>
    <r>
      <t>i</t>
    </r>
    <r>
      <rPr>
        <i/>
        <vertAlign val="subscript"/>
        <sz val="11"/>
        <color theme="1"/>
        <rFont val="Calibri"/>
        <family val="2"/>
        <scheme val="minor"/>
      </rPr>
      <t>e</t>
    </r>
  </si>
  <si>
    <t>Rendimiento efectivo del cupón irregular</t>
  </si>
  <si>
    <t>Cálculo a través de fórmulas de Excel:</t>
  </si>
  <si>
    <t>Precio según Excel</t>
  </si>
  <si>
    <t>Ver Comprobación</t>
  </si>
  <si>
    <t>Valor actual de las rentas (Paso I)</t>
  </si>
  <si>
    <t>Valor actual del principal (Paso II)</t>
  </si>
  <si>
    <t>Valor actual del cupón irregular K=1</t>
  </si>
  <si>
    <t>Fechas de pago</t>
  </si>
  <si>
    <t>Días efectivos</t>
  </si>
  <si>
    <t>Días entre cupones</t>
  </si>
  <si>
    <t>Pagos</t>
  </si>
  <si>
    <t>i efectivo</t>
  </si>
  <si>
    <t>Total flujo K=1</t>
  </si>
  <si>
    <t>Precio</t>
  </si>
  <si>
    <t>Total valor nominal a liquidar</t>
  </si>
  <si>
    <t>Fecha de liquidación (T+1)</t>
  </si>
  <si>
    <t>Cálculo a través de la actualización de cada uno de los flujos (Considerando un nominal de 100.00):</t>
  </si>
  <si>
    <t>Fecha de pago (Día hábil bancario después del vencimiento)</t>
  </si>
  <si>
    <t>Valor Actual</t>
  </si>
  <si>
    <t>Ingreso de información necesaria para el cálculo :</t>
  </si>
  <si>
    <t>CÁLCULO DEL PRECIO DE LOS BONOS DEL TESORO DE LA REPÚBLICA DE GUATEMALA COLOCADOS POR FECHA DE VENCIMIENTO</t>
  </si>
  <si>
    <t>Modificar las fechas</t>
  </si>
  <si>
    <r>
      <rPr>
        <b/>
        <sz val="11"/>
        <color theme="0"/>
        <rFont val="Calibri"/>
        <family val="2"/>
        <scheme val="minor"/>
      </rPr>
      <t>Paso I</t>
    </r>
    <r>
      <rPr>
        <sz val="11"/>
        <color theme="0"/>
        <rFont val="Calibri"/>
        <family val="2"/>
        <scheme val="minor"/>
      </rPr>
      <t>: Actualizar los flujos a la fecha de vencimiento del cupón irregular es decir al K=1</t>
    </r>
  </si>
  <si>
    <r>
      <t xml:space="preserve">Paso II: </t>
    </r>
    <r>
      <rPr>
        <sz val="11"/>
        <color theme="0"/>
        <rFont val="Calibri"/>
        <family val="2"/>
        <scheme val="minor"/>
      </rPr>
      <t>Actualizar el principal al punto K=1</t>
    </r>
  </si>
  <si>
    <r>
      <t xml:space="preserve">Paso III: </t>
    </r>
    <r>
      <rPr>
        <sz val="11"/>
        <color theme="0"/>
        <rFont val="Calibri"/>
        <family val="2"/>
        <scheme val="minor"/>
      </rPr>
      <t>Se actualizan los flujos de K=1 a K=0</t>
    </r>
  </si>
  <si>
    <r>
      <t xml:space="preserve">Paso IV: </t>
    </r>
    <r>
      <rPr>
        <sz val="11"/>
        <color theme="0"/>
        <rFont val="Calibri"/>
        <family val="2"/>
        <scheme val="minor"/>
      </rPr>
      <t xml:space="preserve"> Se determina el valor a liquidar para la constitución de la inversión.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</si>
</sst>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0.0000%"/>
    <numFmt numFmtId="166" formatCode="_(* #,##0.00000_);_(* \(#,##0.00000\);_(* &quot;-&quot;??_);_(@_)"/>
    <numFmt numFmtId="167" formatCode="0.0000"/>
    <numFmt numFmtId="168" formatCode="0.00000"/>
    <numFmt numFmtId="169" formatCode="0.00000%"/>
    <numFmt numFmtId="170" formatCode="_(* #,##0.0000_);_(* \(#,##0.0000\);_(* &quot;-&quot;??_);_(@_)"/>
    <numFmt numFmtId="171" formatCode="_(* #,##0.000_);_(* \(#,##0.000\);_(* &quot;-&quot;??_);_(@_)"/>
    <numFmt numFmtId="172" formatCode="&quot;Q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4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</cellStyleXfs>
  <cellXfs count="8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9" fillId="3" borderId="0" xfId="0" applyFont="1" applyFill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1" xfId="0" applyFill="1" applyBorder="1"/>
    <xf numFmtId="0" fontId="5" fillId="3" borderId="1" xfId="0" applyFont="1" applyFill="1" applyBorder="1"/>
    <xf numFmtId="164" fontId="0" fillId="3" borderId="1" xfId="1" applyFont="1" applyFill="1" applyBorder="1" applyProtection="1"/>
    <xf numFmtId="0" fontId="0" fillId="3" borderId="0" xfId="0" quotePrefix="1" applyFill="1"/>
    <xf numFmtId="0" fontId="4" fillId="3" borderId="0" xfId="0" applyFont="1" applyFill="1"/>
    <xf numFmtId="0" fontId="0" fillId="3" borderId="0" xfId="0" applyFill="1" applyAlignment="1">
      <alignment horizontal="left"/>
    </xf>
    <xf numFmtId="168" fontId="0" fillId="3" borderId="1" xfId="0" applyNumberFormat="1" applyFill="1" applyBorder="1"/>
    <xf numFmtId="0" fontId="5" fillId="3" borderId="0" xfId="0" applyFont="1" applyFill="1"/>
    <xf numFmtId="165" fontId="1" fillId="3" borderId="0" xfId="2" applyNumberFormat="1" applyFont="1" applyFill="1" applyBorder="1" applyProtection="1"/>
    <xf numFmtId="164" fontId="0" fillId="3" borderId="0" xfId="1" applyFont="1" applyFill="1" applyProtection="1"/>
    <xf numFmtId="164" fontId="0" fillId="3" borderId="0" xfId="0" applyNumberFormat="1" applyFill="1"/>
    <xf numFmtId="14" fontId="0" fillId="3" borderId="1" xfId="0" applyNumberFormat="1" applyFill="1" applyBorder="1" applyAlignment="1">
      <alignment horizontal="left"/>
    </xf>
    <xf numFmtId="14" fontId="0" fillId="3" borderId="1" xfId="0" quotePrefix="1" applyNumberFormat="1" applyFill="1" applyBorder="1" applyAlignment="1">
      <alignment horizontal="left"/>
    </xf>
    <xf numFmtId="164" fontId="1" fillId="3" borderId="1" xfId="1" applyFont="1" applyFill="1" applyBorder="1" applyProtection="1"/>
    <xf numFmtId="0" fontId="3" fillId="4" borderId="0" xfId="0" applyFont="1" applyFill="1"/>
    <xf numFmtId="0" fontId="0" fillId="4" borderId="0" xfId="0" applyFill="1"/>
    <xf numFmtId="0" fontId="3" fillId="4" borderId="0" xfId="0" applyFont="1" applyFill="1" applyAlignment="1">
      <alignment vertical="center" wrapText="1"/>
    </xf>
    <xf numFmtId="170" fontId="2" fillId="5" borderId="1" xfId="1" applyNumberFormat="1" applyFont="1" applyFill="1" applyBorder="1" applyProtection="1"/>
    <xf numFmtId="0" fontId="0" fillId="3" borderId="10" xfId="0" applyFill="1" applyBorder="1"/>
    <xf numFmtId="0" fontId="0" fillId="3" borderId="8" xfId="0" applyFill="1" applyBorder="1"/>
    <xf numFmtId="0" fontId="0" fillId="3" borderId="7" xfId="0" applyFill="1" applyBorder="1"/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14" fontId="0" fillId="2" borderId="14" xfId="0" applyNumberFormat="1" applyFill="1" applyBorder="1" applyProtection="1">
      <protection locked="0"/>
    </xf>
    <xf numFmtId="0" fontId="0" fillId="3" borderId="15" xfId="0" applyFill="1" applyBorder="1"/>
    <xf numFmtId="14" fontId="0" fillId="2" borderId="16" xfId="0" applyNumberFormat="1" applyFill="1" applyBorder="1" applyProtection="1">
      <protection locked="0"/>
    </xf>
    <xf numFmtId="164" fontId="6" fillId="2" borderId="16" xfId="1" applyFont="1" applyFill="1" applyBorder="1" applyProtection="1">
      <protection locked="0"/>
    </xf>
    <xf numFmtId="165" fontId="0" fillId="2" borderId="16" xfId="0" applyNumberFormat="1" applyFill="1" applyBorder="1"/>
    <xf numFmtId="0" fontId="10" fillId="0" borderId="0" xfId="0" applyFont="1"/>
    <xf numFmtId="164" fontId="10" fillId="0" borderId="0" xfId="0" applyNumberFormat="1" applyFont="1"/>
    <xf numFmtId="165" fontId="6" fillId="2" borderId="20" xfId="0" applyNumberFormat="1" applyFont="1" applyFill="1" applyBorder="1" applyProtection="1">
      <protection locked="0"/>
    </xf>
    <xf numFmtId="170" fontId="0" fillId="0" borderId="0" xfId="0" applyNumberFormat="1"/>
    <xf numFmtId="165" fontId="0" fillId="0" borderId="0" xfId="0" applyNumberFormat="1"/>
    <xf numFmtId="167" fontId="0" fillId="0" borderId="0" xfId="0" applyNumberFormat="1"/>
    <xf numFmtId="170" fontId="0" fillId="3" borderId="1" xfId="1" applyNumberFormat="1" applyFont="1" applyFill="1" applyBorder="1" applyProtection="1"/>
    <xf numFmtId="170" fontId="0" fillId="3" borderId="1" xfId="1" quotePrefix="1" applyNumberFormat="1" applyFont="1" applyFill="1" applyBorder="1" applyProtection="1"/>
    <xf numFmtId="0" fontId="9" fillId="4" borderId="0" xfId="0" applyFont="1" applyFill="1" applyAlignment="1">
      <alignment vertical="center" wrapText="1"/>
    </xf>
    <xf numFmtId="167" fontId="10" fillId="0" borderId="0" xfId="0" applyNumberFormat="1" applyFont="1"/>
    <xf numFmtId="166" fontId="10" fillId="0" borderId="0" xfId="1" applyNumberFormat="1" applyFont="1" applyFill="1" applyBorder="1" applyAlignment="1" applyProtection="1"/>
    <xf numFmtId="164" fontId="2" fillId="0" borderId="0" xfId="1" applyFont="1" applyFill="1" applyBorder="1" applyProtection="1"/>
    <xf numFmtId="167" fontId="10" fillId="0" borderId="0" xfId="1" applyNumberFormat="1" applyFont="1" applyFill="1" applyBorder="1" applyProtection="1"/>
    <xf numFmtId="164" fontId="10" fillId="0" borderId="0" xfId="1" applyFont="1" applyFill="1" applyBorder="1" applyProtection="1"/>
    <xf numFmtId="170" fontId="10" fillId="0" borderId="0" xfId="1" applyNumberFormat="1" applyFont="1" applyFill="1" applyBorder="1" applyProtection="1"/>
    <xf numFmtId="0" fontId="10" fillId="0" borderId="0" xfId="0" applyFont="1" applyAlignment="1">
      <alignment horizontal="center" shrinkToFit="1"/>
    </xf>
    <xf numFmtId="171" fontId="10" fillId="0" borderId="0" xfId="1" quotePrefix="1" applyNumberFormat="1" applyFont="1" applyFill="1" applyBorder="1" applyProtection="1"/>
    <xf numFmtId="168" fontId="10" fillId="0" borderId="0" xfId="0" applyNumberFormat="1" applyFont="1"/>
    <xf numFmtId="170" fontId="2" fillId="0" borderId="0" xfId="1" applyNumberFormat="1" applyFont="1" applyFill="1" applyBorder="1" applyProtection="1"/>
    <xf numFmtId="170" fontId="10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0" fillId="3" borderId="2" xfId="0" quotePrefix="1" applyFill="1" applyBorder="1"/>
    <xf numFmtId="0" fontId="3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166" fontId="1" fillId="3" borderId="2" xfId="1" applyNumberFormat="1" applyFont="1" applyFill="1" applyBorder="1" applyProtection="1"/>
    <xf numFmtId="0" fontId="12" fillId="0" borderId="0" xfId="0" applyFont="1"/>
    <xf numFmtId="14" fontId="10" fillId="0" borderId="0" xfId="0" applyNumberFormat="1" applyFont="1"/>
    <xf numFmtId="169" fontId="10" fillId="0" borderId="0" xfId="0" applyNumberFormat="1" applyFont="1"/>
    <xf numFmtId="1" fontId="10" fillId="0" borderId="0" xfId="0" applyNumberFormat="1" applyFont="1"/>
    <xf numFmtId="0" fontId="10" fillId="0" borderId="0" xfId="0" quotePrefix="1" applyFont="1"/>
    <xf numFmtId="165" fontId="10" fillId="0" borderId="0" xfId="0" applyNumberFormat="1" applyFont="1"/>
    <xf numFmtId="9" fontId="10" fillId="0" borderId="0" xfId="0" applyNumberFormat="1" applyFont="1"/>
    <xf numFmtId="165" fontId="10" fillId="0" borderId="0" xfId="2" applyNumberFormat="1" applyFont="1" applyFill="1" applyBorder="1" applyProtection="1"/>
    <xf numFmtId="0" fontId="11" fillId="0" borderId="0" xfId="0" applyFont="1"/>
    <xf numFmtId="0" fontId="9" fillId="4" borderId="0" xfId="0" applyFont="1" applyFill="1" applyAlignment="1">
      <alignment horizontal="center" vertical="center" wrapText="1"/>
    </xf>
    <xf numFmtId="172" fontId="13" fillId="0" borderId="0" xfId="0" applyNumberFormat="1" applyFont="1" applyAlignment="1">
      <alignment horizontal="center" vertical="center"/>
    </xf>
    <xf numFmtId="0" fontId="9" fillId="3" borderId="0" xfId="0" applyFont="1" applyFill="1" applyAlignment="1">
      <alignment horizontal="left" vertical="center" wrapText="1"/>
    </xf>
    <xf numFmtId="0" fontId="0" fillId="3" borderId="15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167" fontId="2" fillId="3" borderId="5" xfId="0" applyNumberFormat="1" applyFont="1" applyFill="1" applyBorder="1" applyAlignment="1">
      <alignment horizontal="center"/>
    </xf>
    <xf numFmtId="167" fontId="2" fillId="3" borderId="6" xfId="0" applyNumberFormat="1" applyFont="1" applyFill="1" applyBorder="1" applyAlignment="1">
      <alignment horizontal="center"/>
    </xf>
  </cellXfs>
  <cellStyles count="6">
    <cellStyle name="Millares" xfId="1" builtinId="3"/>
    <cellStyle name="Millares 2" xfId="3" xr:uid="{00000000-0005-0000-0000-000001000000}"/>
    <cellStyle name="Normal" xfId="0" builtinId="0"/>
    <cellStyle name="Normal 2" xfId="4" xr:uid="{00000000-0005-0000-0000-000003000000}"/>
    <cellStyle name="Porcentaje" xfId="2" builtinId="5"/>
    <cellStyle name="Porcentual 2" xfId="5" xr:uid="{00000000-0005-0000-0000-000005000000}"/>
  </cellStyles>
  <dxfs count="0"/>
  <tableStyles count="0" defaultTableStyle="TableStyleMedium2" defaultPivotStyle="PivotStyleLight16"/>
  <colors>
    <mruColors>
      <color rgb="FFEAEAEA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25613</xdr:colOff>
      <xdr:row>9</xdr:row>
      <xdr:rowOff>44825</xdr:rowOff>
    </xdr:from>
    <xdr:to>
      <xdr:col>15</xdr:col>
      <xdr:colOff>593912</xdr:colOff>
      <xdr:row>10</xdr:row>
      <xdr:rowOff>179295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35913" y="1378325"/>
          <a:ext cx="6292824" cy="32497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GT" sz="1100">
              <a:solidFill>
                <a:schemeClr val="bg1"/>
              </a:solidFill>
            </a:rPr>
            <a:t>En este caso "n" es igual a "K" menos uno, toda vez que se están actualizando los flujos</a:t>
          </a:r>
          <a:r>
            <a:rPr lang="es-GT" sz="1100" baseline="0">
              <a:solidFill>
                <a:schemeClr val="bg1"/>
              </a:solidFill>
            </a:rPr>
            <a:t> a la punto K=1</a:t>
          </a:r>
          <a:endParaRPr lang="es-GT" sz="1100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54428</xdr:colOff>
      <xdr:row>23</xdr:row>
      <xdr:rowOff>13607</xdr:rowOff>
    </xdr:from>
    <xdr:to>
      <xdr:col>15</xdr:col>
      <xdr:colOff>721179</xdr:colOff>
      <xdr:row>26</xdr:row>
      <xdr:rowOff>112058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264728" y="4014107"/>
          <a:ext cx="6391276" cy="70805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GT" sz="1100">
              <a:solidFill>
                <a:schemeClr val="accent2"/>
              </a:solidFill>
            </a:rPr>
            <a:t>Al actualizar a</a:t>
          </a:r>
          <a:r>
            <a:rPr lang="es-GT" sz="1100" baseline="0">
              <a:solidFill>
                <a:schemeClr val="accent2"/>
              </a:solidFill>
            </a:rPr>
            <a:t> la fecha de la liquidación (intermedia entre cupones) se actualiza a una fracción del tiempo entre cupones, por lo que "n" se sustituye por "Dp/D"; así  como "i" se sustituye por "i</a:t>
          </a:r>
          <a:r>
            <a:rPr lang="es-GT" sz="1100" baseline="-25000">
              <a:solidFill>
                <a:schemeClr val="accent2"/>
              </a:solidFill>
            </a:rPr>
            <a:t>e</a:t>
          </a:r>
          <a:r>
            <a:rPr lang="es-GT" sz="1100" baseline="0">
              <a:solidFill>
                <a:schemeClr val="accent2"/>
              </a:solidFill>
            </a:rPr>
            <a:t>", que representa  el rendimiento efectivo del período irregular.</a:t>
          </a:r>
          <a:endParaRPr lang="es-GT" sz="1100">
            <a:solidFill>
              <a:schemeClr val="accent2"/>
            </a:solidFill>
          </a:endParaRPr>
        </a:p>
      </xdr:txBody>
    </xdr:sp>
    <xdr:clientData/>
  </xdr:twoCellAnchor>
  <xdr:twoCellAnchor>
    <xdr:from>
      <xdr:col>0</xdr:col>
      <xdr:colOff>15999</xdr:colOff>
      <xdr:row>28</xdr:row>
      <xdr:rowOff>38727</xdr:rowOff>
    </xdr:from>
    <xdr:to>
      <xdr:col>2</xdr:col>
      <xdr:colOff>512379</xdr:colOff>
      <xdr:row>32</xdr:row>
      <xdr:rowOff>7327</xdr:rowOff>
    </xdr:to>
    <xdr:sp macro="" textlink="$S$3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999" y="2758279"/>
          <a:ext cx="1744483" cy="730600"/>
        </a:xfrm>
        <a:prstGeom prst="rect">
          <a:avLst/>
        </a:prstGeom>
        <a:ln/>
        <a:effectLst>
          <a:outerShdw blurRad="50800" dist="38100" dir="18900000" algn="b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48FC0F71-CA38-4986-A0E8-9332E885BC9E}" type="TxLink">
            <a:rPr lang="es-GT" sz="20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pPr algn="ctr"/>
            <a:t>El precio es de 101.4210%</a:t>
          </a:fld>
          <a:endParaRPr lang="es-GT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>
    <xdr:from>
      <xdr:col>3</xdr:col>
      <xdr:colOff>6570</xdr:colOff>
      <xdr:row>28</xdr:row>
      <xdr:rowOff>39414</xdr:rowOff>
    </xdr:from>
    <xdr:to>
      <xdr:col>5</xdr:col>
      <xdr:colOff>609600</xdr:colOff>
      <xdr:row>32</xdr:row>
      <xdr:rowOff>36634</xdr:rowOff>
    </xdr:to>
    <xdr:sp macro="" textlink="$S$6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016345" y="3077889"/>
          <a:ext cx="2869980" cy="759220"/>
        </a:xfrm>
        <a:prstGeom prst="rect">
          <a:avLst/>
        </a:prstGeom>
        <a:ln/>
        <a:effectLst>
          <a:outerShdw blurRad="50800" dist="38100" dir="18900000" algn="b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C32A6C1F-C4A7-4136-9B00-7AE6BF5FB4A4}" type="TxLink">
            <a:rPr lang="es-GT" sz="18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pPr algn="ctr"/>
            <a:t>El valor a liquidar es de 10,142.10</a:t>
          </a:fld>
          <a:endParaRPr lang="es-GT" sz="18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>
    <xdr:from>
      <xdr:col>0</xdr:col>
      <xdr:colOff>73268</xdr:colOff>
      <xdr:row>0</xdr:row>
      <xdr:rowOff>43964</xdr:rowOff>
    </xdr:from>
    <xdr:to>
      <xdr:col>1</xdr:col>
      <xdr:colOff>754672</xdr:colOff>
      <xdr:row>2</xdr:row>
      <xdr:rowOff>241790</xdr:rowOff>
    </xdr:to>
    <xdr:pic>
      <xdr:nvPicPr>
        <xdr:cNvPr id="7" name="6 Imagen" descr="escudoArrDorad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68" y="43964"/>
          <a:ext cx="974481" cy="79863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29308</xdr:colOff>
      <xdr:row>4</xdr:row>
      <xdr:rowOff>0</xdr:rowOff>
    </xdr:from>
    <xdr:to>
      <xdr:col>7</xdr:col>
      <xdr:colOff>7327</xdr:colOff>
      <xdr:row>4</xdr:row>
      <xdr:rowOff>0</xdr:rowOff>
    </xdr:to>
    <xdr:cxnSp macro="">
      <xdr:nvCxnSpPr>
        <xdr:cNvPr id="8" name="7 Conector rec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29308" y="1128346"/>
          <a:ext cx="6176596" cy="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arrollo%20Mercado/Proyecto%20Desarrollo%20Mercado%20Secundario/F&#243;rmulas/Formula%20Precio%20Bonos%20del%20Tesoro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amily%20Calendar_2_Mon%20Start1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"/>
      <sheetName val="Dinamico"/>
      <sheetName val="Bono Estándar"/>
      <sheetName val="Bono_Cupón_Irregular"/>
      <sheetName val="Hoja1"/>
      <sheetName val="Hoja2"/>
      <sheetName val="Hoja7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endario familiar"/>
    </sheetNames>
    <sheetDataSet>
      <sheetData sheetId="0">
        <row r="6">
          <cell r="D6">
            <v>40544</v>
          </cell>
        </row>
        <row r="7">
          <cell r="D7">
            <v>40627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3" tint="0.79998168889431442"/>
    <pageSetUpPr fitToPage="1"/>
  </sheetPr>
  <dimension ref="A1:Y99"/>
  <sheetViews>
    <sheetView showGridLines="0" tabSelected="1" showRuler="0" zoomScaleNormal="100" zoomScaleSheetLayoutView="145" workbookViewId="0">
      <selection activeCell="J2" sqref="J2"/>
    </sheetView>
  </sheetViews>
  <sheetFormatPr baseColWidth="10" defaultColWidth="11.42578125" defaultRowHeight="15" x14ac:dyDescent="0.25"/>
  <cols>
    <col min="1" max="1" width="4.42578125" customWidth="1"/>
    <col min="2" max="2" width="14.28515625" customWidth="1"/>
    <col min="3" max="3" width="11.42578125" customWidth="1"/>
    <col min="4" max="4" width="11.140625" customWidth="1"/>
    <col min="5" max="5" width="22.85546875" customWidth="1"/>
    <col min="6" max="6" width="17.140625" customWidth="1"/>
    <col min="7" max="7" width="13.42578125" customWidth="1"/>
    <col min="8" max="8" width="24.5703125" style="38" customWidth="1"/>
    <col min="9" max="9" width="8.28515625" style="38" customWidth="1"/>
    <col min="10" max="10" width="14.5703125" style="38" customWidth="1"/>
    <col min="11" max="11" width="12" style="38" customWidth="1"/>
    <col min="12" max="12" width="12.85546875" style="38" customWidth="1"/>
    <col min="13" max="13" width="16" style="38" customWidth="1"/>
    <col min="14" max="14" width="14.42578125" style="38" customWidth="1"/>
    <col min="15" max="15" width="16.140625" style="38" customWidth="1"/>
    <col min="16" max="16" width="12" style="38" customWidth="1"/>
    <col min="17" max="17" width="24.5703125" style="38" customWidth="1"/>
    <col min="18" max="18" width="11.42578125" style="38" customWidth="1"/>
    <col min="19" max="19" width="19.5703125" style="38" customWidth="1"/>
    <col min="20" max="20" width="11.42578125" style="38" customWidth="1"/>
    <col min="21" max="32" width="11.42578125" customWidth="1"/>
  </cols>
  <sheetData>
    <row r="1" spans="1:25" ht="15" customHeight="1" x14ac:dyDescent="0.25">
      <c r="A1" s="21">
        <v>1</v>
      </c>
      <c r="B1" s="22"/>
      <c r="C1" s="73" t="s">
        <v>48</v>
      </c>
      <c r="D1" s="73"/>
      <c r="E1" s="73"/>
      <c r="F1" s="73"/>
      <c r="G1" s="22"/>
      <c r="U1" s="38"/>
      <c r="V1" s="38"/>
      <c r="W1" s="38"/>
      <c r="X1" s="38"/>
      <c r="Y1" s="38"/>
    </row>
    <row r="2" spans="1:25" ht="41.25" customHeight="1" x14ac:dyDescent="0.25">
      <c r="A2" s="22"/>
      <c r="B2" s="23"/>
      <c r="C2" s="73"/>
      <c r="D2" s="73"/>
      <c r="E2" s="73"/>
      <c r="F2" s="73"/>
      <c r="G2" s="46"/>
      <c r="U2" s="38"/>
      <c r="V2" s="38"/>
      <c r="W2" s="38"/>
      <c r="X2" s="38"/>
      <c r="Y2" s="38"/>
    </row>
    <row r="3" spans="1:25" ht="21" customHeight="1" x14ac:dyDescent="0.25">
      <c r="A3" s="22"/>
      <c r="B3" s="22"/>
      <c r="C3" s="73"/>
      <c r="D3" s="73"/>
      <c r="E3" s="73"/>
      <c r="F3" s="73"/>
      <c r="G3" s="22"/>
      <c r="S3" s="64" t="str">
        <f>"El precio es de " &amp;TEXT(E38,"##.0000")&amp;"%"</f>
        <v>El precio es de 101.4210%</v>
      </c>
      <c r="U3" s="38"/>
      <c r="V3" s="38"/>
      <c r="W3" s="38"/>
      <c r="X3" s="38"/>
      <c r="Y3" s="38"/>
    </row>
    <row r="4" spans="1:25" ht="9.75" customHeight="1" x14ac:dyDescent="0.25">
      <c r="A4" s="22"/>
      <c r="B4" s="22"/>
      <c r="C4" s="46"/>
      <c r="D4" s="46"/>
      <c r="E4" s="46"/>
      <c r="F4" s="46"/>
      <c r="G4" s="22"/>
      <c r="S4" s="64"/>
      <c r="U4" s="38"/>
      <c r="V4" s="38"/>
      <c r="W4" s="38"/>
      <c r="X4" s="38"/>
      <c r="Y4" s="38"/>
    </row>
    <row r="5" spans="1:25" ht="21" customHeight="1" x14ac:dyDescent="0.25">
      <c r="A5" s="2"/>
      <c r="B5" s="2"/>
      <c r="C5" s="2"/>
      <c r="D5" s="2"/>
      <c r="E5" s="2"/>
      <c r="F5" s="2"/>
      <c r="G5" s="2"/>
      <c r="S5" s="64"/>
      <c r="U5" s="38"/>
      <c r="V5" s="38"/>
      <c r="W5" s="38"/>
      <c r="X5" s="38"/>
      <c r="Y5" s="38"/>
    </row>
    <row r="6" spans="1:25" ht="15.75" thickBot="1" x14ac:dyDescent="0.3">
      <c r="A6" s="3" t="s">
        <v>47</v>
      </c>
      <c r="B6" s="2"/>
      <c r="C6" s="2"/>
      <c r="D6" s="2"/>
      <c r="E6" s="2"/>
      <c r="F6" s="2"/>
      <c r="G6" s="2"/>
      <c r="S6" s="64" t="str">
        <f>"El valor a liquidar es de "&amp;TEXT(S8,"##,###,###.00")</f>
        <v>El valor a liquidar es de 10,142.10</v>
      </c>
      <c r="U6" s="38"/>
      <c r="V6" s="38"/>
      <c r="W6" s="38"/>
      <c r="X6" s="38"/>
      <c r="Y6" s="38"/>
    </row>
    <row r="7" spans="1:25" ht="15.75" customHeight="1" x14ac:dyDescent="0.25">
      <c r="A7" s="30" t="s">
        <v>43</v>
      </c>
      <c r="B7" s="31"/>
      <c r="C7" s="31"/>
      <c r="D7" s="31"/>
      <c r="E7" s="32"/>
      <c r="F7" s="33">
        <v>45401</v>
      </c>
      <c r="G7" s="2"/>
      <c r="J7" s="58" t="s">
        <v>0</v>
      </c>
      <c r="Q7" s="38" t="s">
        <v>49</v>
      </c>
      <c r="S7" s="64"/>
      <c r="U7" s="38"/>
      <c r="V7" s="38"/>
      <c r="W7" s="38"/>
      <c r="X7" s="38"/>
      <c r="Y7" s="38"/>
    </row>
    <row r="8" spans="1:25" ht="15" customHeight="1" x14ac:dyDescent="0.25">
      <c r="A8" s="34" t="s">
        <v>45</v>
      </c>
      <c r="B8" s="5"/>
      <c r="C8" s="5"/>
      <c r="D8" s="5"/>
      <c r="E8" s="6"/>
      <c r="F8" s="35">
        <v>52856</v>
      </c>
      <c r="G8" s="2"/>
      <c r="Q8" s="65">
        <v>47535</v>
      </c>
      <c r="R8" s="51"/>
      <c r="S8" s="74">
        <f>+F9*E38/100</f>
        <v>10142.1</v>
      </c>
      <c r="U8" s="38"/>
      <c r="V8" s="38"/>
      <c r="W8" s="38"/>
      <c r="X8" s="38"/>
      <c r="Y8" s="38"/>
    </row>
    <row r="9" spans="1:25" ht="15" customHeight="1" x14ac:dyDescent="0.25">
      <c r="A9" s="76" t="s">
        <v>1</v>
      </c>
      <c r="B9" s="77"/>
      <c r="C9" s="77"/>
      <c r="D9" s="77"/>
      <c r="E9" s="78"/>
      <c r="F9" s="36">
        <v>10000</v>
      </c>
      <c r="G9" s="2"/>
      <c r="J9" s="38" t="s">
        <v>50</v>
      </c>
      <c r="Q9" s="65">
        <v>49146</v>
      </c>
      <c r="R9" s="51"/>
      <c r="S9" s="74"/>
      <c r="U9" s="38"/>
      <c r="V9" s="38"/>
      <c r="W9" s="38"/>
      <c r="X9" s="38"/>
      <c r="Y9" s="38"/>
    </row>
    <row r="10" spans="1:25" ht="15" customHeight="1" x14ac:dyDescent="0.25">
      <c r="A10" s="76" t="s">
        <v>2</v>
      </c>
      <c r="B10" s="77"/>
      <c r="C10" s="77"/>
      <c r="D10" s="77"/>
      <c r="E10" s="78"/>
      <c r="F10" s="37">
        <f>IF(F8=47535,7.556%,IF(F8=49146,7.569%,IF(F8=50845,7.587%,IF(F8=52856,7.725%))))</f>
        <v>7.7249999999999999E-2</v>
      </c>
      <c r="G10" s="2"/>
      <c r="Q10" s="65">
        <v>50845</v>
      </c>
      <c r="R10" s="51">
        <v>45366</v>
      </c>
      <c r="T10" s="51"/>
      <c r="U10" s="38"/>
      <c r="V10" s="38"/>
      <c r="W10" s="38"/>
      <c r="X10" s="38"/>
      <c r="Y10" s="38"/>
    </row>
    <row r="11" spans="1:25" ht="15.75" thickBot="1" x14ac:dyDescent="0.3">
      <c r="A11" s="79" t="s">
        <v>3</v>
      </c>
      <c r="B11" s="80"/>
      <c r="C11" s="80"/>
      <c r="D11" s="80"/>
      <c r="E11" s="81"/>
      <c r="F11" s="40">
        <v>7.5870000000000007E-2</v>
      </c>
      <c r="G11" s="2"/>
      <c r="Q11" s="65">
        <v>52856</v>
      </c>
      <c r="R11" s="51">
        <v>46434</v>
      </c>
      <c r="T11" s="51"/>
      <c r="U11" s="38"/>
      <c r="V11" s="38"/>
      <c r="W11" s="38"/>
      <c r="X11" s="38"/>
      <c r="Y11" s="38"/>
    </row>
    <row r="12" spans="1:25" hidden="1" x14ac:dyDescent="0.25">
      <c r="A12" s="25"/>
      <c r="B12" s="26" t="s">
        <v>4</v>
      </c>
      <c r="C12" s="27"/>
      <c r="D12" s="27"/>
      <c r="E12" s="28"/>
      <c r="F12" s="29">
        <v>0</v>
      </c>
      <c r="G12" s="60" t="str">
        <f>IF(F12=0,"30/360",IF(F12=1,"Actual/Actual",IF(F12=2,"Real/360",IF(F12=3,"Real/365",IF(F12=4,"Europea 30/360","")))))</f>
        <v>30/360</v>
      </c>
      <c r="U12" s="38"/>
      <c r="V12" s="38"/>
      <c r="W12" s="38"/>
      <c r="X12" s="38"/>
      <c r="Y12" s="38"/>
    </row>
    <row r="13" spans="1:25" hidden="1" x14ac:dyDescent="0.25">
      <c r="A13" s="8" t="s">
        <v>5</v>
      </c>
      <c r="B13" s="4" t="s">
        <v>6</v>
      </c>
      <c r="C13" s="5"/>
      <c r="D13" s="5"/>
      <c r="E13" s="6"/>
      <c r="F13" s="9">
        <v>100</v>
      </c>
      <c r="G13" s="10"/>
      <c r="M13" s="38" t="s">
        <v>7</v>
      </c>
      <c r="N13" s="48">
        <f>((1+F23)^(F18-1))-1</f>
        <v>3.4341081162870104</v>
      </c>
      <c r="O13" s="47">
        <f>N13/N14</f>
        <v>20.415856163949591</v>
      </c>
      <c r="P13" s="49">
        <f>O13*F17</f>
        <v>78.856244433255299</v>
      </c>
      <c r="U13" s="38"/>
      <c r="V13" s="38"/>
      <c r="W13" s="38"/>
      <c r="X13" s="38"/>
      <c r="Y13" s="38"/>
    </row>
    <row r="14" spans="1:25" hidden="1" x14ac:dyDescent="0.25">
      <c r="A14" s="7"/>
      <c r="B14" s="4" t="s">
        <v>8</v>
      </c>
      <c r="C14" s="5"/>
      <c r="D14" s="5"/>
      <c r="E14" s="6"/>
      <c r="F14" s="7">
        <v>2</v>
      </c>
      <c r="G14" s="2"/>
      <c r="M14" s="38" t="s">
        <v>9</v>
      </c>
      <c r="N14" s="48">
        <f>F23*((1+F23)^(F18-1))</f>
        <v>0.16820789139134776</v>
      </c>
      <c r="P14" s="51"/>
      <c r="U14" s="38"/>
      <c r="V14" s="38"/>
      <c r="W14" s="38"/>
      <c r="X14" s="38"/>
      <c r="Y14" s="38"/>
    </row>
    <row r="15" spans="1:25" ht="17.25" hidden="1" customHeight="1" x14ac:dyDescent="0.25">
      <c r="A15" s="2"/>
      <c r="B15" s="2"/>
      <c r="C15" s="2"/>
      <c r="D15" s="2"/>
      <c r="E15" s="2"/>
      <c r="F15" s="2"/>
      <c r="G15" s="10"/>
      <c r="N15" s="48"/>
      <c r="P15" s="51"/>
      <c r="U15" s="38"/>
      <c r="V15" s="38"/>
      <c r="W15" s="38"/>
      <c r="X15" s="38"/>
      <c r="Y15" s="38"/>
    </row>
    <row r="16" spans="1:25" hidden="1" x14ac:dyDescent="0.25">
      <c r="A16" s="11" t="s">
        <v>10</v>
      </c>
      <c r="B16" s="12"/>
      <c r="C16" s="12"/>
      <c r="D16" s="12"/>
      <c r="E16" s="2"/>
      <c r="F16" s="2"/>
      <c r="G16" s="2"/>
      <c r="N16" s="38" t="s">
        <v>11</v>
      </c>
      <c r="P16" s="49">
        <f>PV(F23,F18-1,-F17,,0)</f>
        <v>78.856244433255284</v>
      </c>
      <c r="U16" s="38"/>
      <c r="V16" s="38"/>
      <c r="W16" s="38"/>
      <c r="X16" s="38"/>
      <c r="Y16" s="38"/>
    </row>
    <row r="17" spans="1:25" hidden="1" x14ac:dyDescent="0.25">
      <c r="A17" s="8" t="s">
        <v>12</v>
      </c>
      <c r="B17" s="4" t="s">
        <v>13</v>
      </c>
      <c r="C17" s="5"/>
      <c r="D17" s="5"/>
      <c r="E17" s="6"/>
      <c r="F17" s="9">
        <f>F13*(F10/F14)</f>
        <v>3.8624999999999998</v>
      </c>
      <c r="G17" s="2"/>
      <c r="U17" s="38"/>
      <c r="V17" s="38"/>
      <c r="W17" s="38"/>
      <c r="X17" s="38"/>
      <c r="Y17" s="38"/>
    </row>
    <row r="18" spans="1:25" hidden="1" x14ac:dyDescent="0.25">
      <c r="A18" s="8" t="s">
        <v>14</v>
      </c>
      <c r="B18" s="4" t="s">
        <v>15</v>
      </c>
      <c r="C18" s="5"/>
      <c r="D18" s="5"/>
      <c r="E18" s="6"/>
      <c r="F18" s="7">
        <f>+COUPNUM(F7,F8,F14,F12)</f>
        <v>41</v>
      </c>
      <c r="G18" s="2"/>
      <c r="J18" s="58" t="s">
        <v>51</v>
      </c>
      <c r="U18" s="38"/>
      <c r="V18" s="38"/>
      <c r="W18" s="38"/>
      <c r="X18" s="38"/>
      <c r="Y18" s="38"/>
    </row>
    <row r="19" spans="1:25" hidden="1" x14ac:dyDescent="0.25">
      <c r="A19" s="8" t="s">
        <v>16</v>
      </c>
      <c r="B19" s="4" t="s">
        <v>17</v>
      </c>
      <c r="C19" s="5"/>
      <c r="D19" s="5"/>
      <c r="E19" s="6"/>
      <c r="F19" s="7">
        <f>COUPDAYBS(F7,F8,F14,F12)</f>
        <v>33</v>
      </c>
      <c r="G19" s="2"/>
      <c r="U19" s="38"/>
      <c r="V19" s="38"/>
      <c r="W19" s="38"/>
      <c r="X19" s="38"/>
      <c r="Y19" s="38"/>
    </row>
    <row r="20" spans="1:25" hidden="1" x14ac:dyDescent="0.25">
      <c r="A20" s="8" t="s">
        <v>18</v>
      </c>
      <c r="B20" s="4" t="s">
        <v>19</v>
      </c>
      <c r="C20" s="5"/>
      <c r="D20" s="5"/>
      <c r="E20" s="6"/>
      <c r="F20" s="7">
        <f>DAYS360(B38,B39,0)</f>
        <v>147</v>
      </c>
      <c r="G20" s="2"/>
      <c r="M20" s="38" t="s">
        <v>7</v>
      </c>
      <c r="N20" s="38">
        <f>F13</f>
        <v>100</v>
      </c>
      <c r="O20" s="49">
        <f>N20/N21</f>
        <v>22.552449642057219</v>
      </c>
      <c r="U20" s="38"/>
      <c r="V20" s="38"/>
      <c r="W20" s="38"/>
      <c r="X20" s="38"/>
      <c r="Y20" s="38"/>
    </row>
    <row r="21" spans="1:25" hidden="1" x14ac:dyDescent="0.25">
      <c r="A21" s="8" t="s">
        <v>20</v>
      </c>
      <c r="B21" s="4" t="s">
        <v>21</v>
      </c>
      <c r="C21" s="5"/>
      <c r="D21" s="5"/>
      <c r="E21" s="6"/>
      <c r="F21" s="7">
        <f>+COUPDAYS(F7,F8,F14,F12)</f>
        <v>180</v>
      </c>
      <c r="G21" s="2"/>
      <c r="M21" s="38" t="s">
        <v>9</v>
      </c>
      <c r="N21" s="50">
        <f>(1+F23)^(F18-1)</f>
        <v>4.4341081162870104</v>
      </c>
      <c r="O21" s="51"/>
      <c r="U21" s="38"/>
      <c r="V21" s="38"/>
      <c r="W21" s="38"/>
      <c r="X21" s="38"/>
      <c r="Y21" s="38"/>
    </row>
    <row r="22" spans="1:25" hidden="1" x14ac:dyDescent="0.25">
      <c r="A22" s="8" t="s">
        <v>22</v>
      </c>
      <c r="B22" s="4" t="s">
        <v>23</v>
      </c>
      <c r="C22" s="5"/>
      <c r="D22" s="5"/>
      <c r="E22" s="6"/>
      <c r="F22" s="7">
        <v>360</v>
      </c>
      <c r="G22" s="2"/>
      <c r="N22" s="38" t="s">
        <v>24</v>
      </c>
      <c r="O22" s="49">
        <f>PV(F23,F18-1,,-F13,0)</f>
        <v>22.552449642057219</v>
      </c>
      <c r="U22" s="38"/>
      <c r="V22" s="38"/>
      <c r="W22" s="38"/>
      <c r="X22" s="38"/>
      <c r="Y22" s="38"/>
    </row>
    <row r="23" spans="1:25" hidden="1" x14ac:dyDescent="0.25">
      <c r="A23" s="8" t="s">
        <v>25</v>
      </c>
      <c r="B23" s="4" t="s">
        <v>26</v>
      </c>
      <c r="C23" s="5"/>
      <c r="D23" s="5"/>
      <c r="E23" s="6"/>
      <c r="F23" s="7">
        <f>F11/F14</f>
        <v>3.7935000000000003E-2</v>
      </c>
      <c r="G23" s="2"/>
      <c r="J23" s="58" t="s">
        <v>52</v>
      </c>
      <c r="U23" s="38"/>
      <c r="V23" s="38"/>
      <c r="W23" s="38"/>
      <c r="X23" s="38"/>
      <c r="Y23" s="38"/>
    </row>
    <row r="24" spans="1:25" ht="18" hidden="1" x14ac:dyDescent="0.35">
      <c r="A24" s="8" t="s">
        <v>27</v>
      </c>
      <c r="B24" s="4" t="s">
        <v>28</v>
      </c>
      <c r="C24" s="5"/>
      <c r="D24" s="5"/>
      <c r="E24" s="6"/>
      <c r="F24" s="13">
        <f>M40</f>
        <v>3.8065872068026918E-2</v>
      </c>
      <c r="G24" s="2"/>
      <c r="J24" s="58"/>
      <c r="Q24" s="65"/>
      <c r="U24" s="38"/>
      <c r="V24" s="38"/>
      <c r="W24" s="38"/>
      <c r="X24" s="38"/>
      <c r="Y24" s="38"/>
    </row>
    <row r="25" spans="1:25" hidden="1" x14ac:dyDescent="0.25">
      <c r="A25" s="14"/>
      <c r="B25" s="2"/>
      <c r="C25" s="2"/>
      <c r="D25" s="2"/>
      <c r="E25" s="2"/>
      <c r="F25" s="2"/>
      <c r="G25" s="2"/>
      <c r="U25" s="38"/>
      <c r="V25" s="38"/>
      <c r="W25" s="38"/>
      <c r="X25" s="38"/>
      <c r="Y25" s="38"/>
    </row>
    <row r="26" spans="1:25" hidden="1" x14ac:dyDescent="0.25">
      <c r="A26" s="11" t="s">
        <v>29</v>
      </c>
      <c r="B26" s="2"/>
      <c r="C26" s="2"/>
      <c r="D26" s="2"/>
      <c r="E26" s="2"/>
      <c r="F26" s="2"/>
      <c r="G26" s="2"/>
      <c r="U26" s="38"/>
      <c r="V26" s="38"/>
      <c r="W26" s="38"/>
      <c r="X26" s="38"/>
      <c r="Y26" s="38"/>
    </row>
    <row r="27" spans="1:25" hidden="1" x14ac:dyDescent="0.25">
      <c r="A27" s="7"/>
      <c r="B27" s="4" t="s">
        <v>30</v>
      </c>
      <c r="C27" s="5"/>
      <c r="D27" s="6"/>
      <c r="E27" s="82" t="s">
        <v>31</v>
      </c>
      <c r="F27" s="83"/>
      <c r="G27" s="2"/>
      <c r="U27" s="38"/>
      <c r="V27" s="38"/>
      <c r="W27" s="38"/>
      <c r="X27" s="38"/>
      <c r="Y27" s="38"/>
    </row>
    <row r="28" spans="1:25" ht="39" customHeight="1" x14ac:dyDescent="0.25">
      <c r="A28" s="2"/>
      <c r="B28" s="2"/>
      <c r="C28" s="2"/>
      <c r="D28" s="2"/>
      <c r="E28" s="2"/>
      <c r="F28" s="15"/>
      <c r="G28" s="16"/>
      <c r="H28" s="66"/>
      <c r="L28" s="38" t="s">
        <v>32</v>
      </c>
      <c r="O28" s="52">
        <f>P13</f>
        <v>78.856244433255299</v>
      </c>
      <c r="U28" s="38"/>
      <c r="V28" s="38"/>
      <c r="W28" s="38"/>
      <c r="X28" s="38"/>
      <c r="Y28" s="38"/>
    </row>
    <row r="29" spans="1:25" x14ac:dyDescent="0.25">
      <c r="A29" s="2"/>
      <c r="B29" s="2"/>
      <c r="C29" s="2"/>
      <c r="D29" s="2"/>
      <c r="E29" s="2"/>
      <c r="F29" s="15"/>
      <c r="G29" s="16"/>
      <c r="H29" s="66"/>
      <c r="O29" s="52"/>
      <c r="Q29" s="67">
        <v>47535</v>
      </c>
      <c r="R29" s="67"/>
      <c r="U29" s="38"/>
      <c r="V29" s="38"/>
      <c r="W29" s="38"/>
      <c r="X29" s="38"/>
      <c r="Y29" s="38"/>
    </row>
    <row r="30" spans="1:25" x14ac:dyDescent="0.25">
      <c r="A30" s="2"/>
      <c r="B30" s="2"/>
      <c r="C30" s="2"/>
      <c r="D30" s="2"/>
      <c r="E30" s="2"/>
      <c r="F30" s="15"/>
      <c r="G30" s="16"/>
      <c r="H30" s="66"/>
      <c r="O30" s="52"/>
      <c r="Q30" s="67">
        <v>49146</v>
      </c>
      <c r="R30" s="67"/>
      <c r="U30" s="38"/>
      <c r="V30" s="38"/>
      <c r="W30" s="38"/>
      <c r="X30" s="38"/>
      <c r="Y30" s="38"/>
    </row>
    <row r="31" spans="1:25" x14ac:dyDescent="0.25">
      <c r="A31" s="2"/>
      <c r="B31" s="2"/>
      <c r="C31" s="2"/>
      <c r="D31" s="2"/>
      <c r="E31" s="2"/>
      <c r="F31" s="15"/>
      <c r="G31" s="16"/>
      <c r="H31" s="66"/>
      <c r="O31" s="52"/>
      <c r="Q31" s="67">
        <v>50845</v>
      </c>
      <c r="R31" s="67"/>
      <c r="U31" s="38"/>
      <c r="V31" s="38"/>
      <c r="W31" s="38"/>
      <c r="X31" s="38"/>
      <c r="Y31" s="38"/>
    </row>
    <row r="32" spans="1:25" x14ac:dyDescent="0.25">
      <c r="A32" s="2"/>
      <c r="B32" s="2"/>
      <c r="C32" s="2"/>
      <c r="D32" s="2"/>
      <c r="E32" s="2"/>
      <c r="F32" s="15"/>
      <c r="G32" s="16"/>
      <c r="H32" s="66"/>
      <c r="O32" s="52"/>
      <c r="Q32" s="67">
        <v>52856</v>
      </c>
      <c r="U32" s="38"/>
      <c r="V32" s="38"/>
      <c r="W32" s="38"/>
      <c r="X32" s="38"/>
      <c r="Y32" s="38"/>
    </row>
    <row r="33" spans="1:25" x14ac:dyDescent="0.25">
      <c r="A33" s="2"/>
      <c r="B33" s="2"/>
      <c r="C33" s="2"/>
      <c r="D33" s="2"/>
      <c r="E33" s="2"/>
      <c r="F33" s="15"/>
      <c r="G33" s="16"/>
      <c r="H33" s="66"/>
      <c r="O33" s="52"/>
      <c r="U33" s="38"/>
      <c r="V33" s="38"/>
      <c r="W33" s="38"/>
      <c r="X33" s="38"/>
      <c r="Y33" s="38"/>
    </row>
    <row r="34" spans="1:25" ht="6" customHeight="1" x14ac:dyDescent="0.25">
      <c r="A34" s="2"/>
      <c r="B34" s="2"/>
      <c r="C34" s="2"/>
      <c r="D34" s="2"/>
      <c r="E34" s="2"/>
      <c r="F34" s="15"/>
      <c r="G34" s="16"/>
      <c r="H34" s="66"/>
      <c r="O34" s="52"/>
      <c r="U34" s="38"/>
      <c r="V34" s="38"/>
      <c r="W34" s="38"/>
      <c r="X34" s="38"/>
      <c r="Y34" s="38"/>
    </row>
    <row r="35" spans="1:25" ht="31.5" customHeight="1" x14ac:dyDescent="0.25">
      <c r="A35" s="75" t="s">
        <v>44</v>
      </c>
      <c r="B35" s="75"/>
      <c r="C35" s="75"/>
      <c r="D35" s="75"/>
      <c r="E35" s="75"/>
      <c r="F35" s="75"/>
      <c r="G35" s="17"/>
      <c r="L35" s="38" t="s">
        <v>33</v>
      </c>
      <c r="O35" s="52">
        <f>O20</f>
        <v>22.552449642057219</v>
      </c>
      <c r="U35" s="38"/>
      <c r="V35" s="38"/>
      <c r="W35" s="38"/>
      <c r="X35" s="38"/>
      <c r="Y35" s="38"/>
    </row>
    <row r="36" spans="1:25" ht="13.5" customHeight="1" x14ac:dyDescent="0.25">
      <c r="A36" s="2"/>
      <c r="B36" s="2"/>
      <c r="C36" s="2"/>
      <c r="D36" s="2"/>
      <c r="E36" s="2"/>
      <c r="F36" s="2"/>
      <c r="G36" s="16"/>
      <c r="L36" s="38" t="s">
        <v>34</v>
      </c>
      <c r="O36" s="52">
        <f>F13*(F10/F14)*(F20/F21)</f>
        <v>3.1543749999999999</v>
      </c>
      <c r="U36" s="38"/>
      <c r="V36" s="38"/>
      <c r="W36" s="38"/>
      <c r="X36" s="38"/>
      <c r="Y36" s="38"/>
    </row>
    <row r="37" spans="1:25" ht="30" x14ac:dyDescent="0.25">
      <c r="A37" s="1" t="s">
        <v>14</v>
      </c>
      <c r="B37" s="1" t="s">
        <v>35</v>
      </c>
      <c r="C37" s="1" t="s">
        <v>36</v>
      </c>
      <c r="D37" s="1" t="s">
        <v>37</v>
      </c>
      <c r="E37" s="1" t="s">
        <v>38</v>
      </c>
      <c r="F37" s="1" t="s">
        <v>46</v>
      </c>
      <c r="G37" s="61" t="s">
        <v>39</v>
      </c>
      <c r="L37" s="38" t="s">
        <v>40</v>
      </c>
      <c r="O37" s="52">
        <f>SUM(O28:O36)</f>
        <v>104.56306907531253</v>
      </c>
      <c r="U37" s="38"/>
      <c r="V37" s="38"/>
      <c r="W37" s="38"/>
      <c r="X37" s="38"/>
      <c r="Y37" s="38"/>
    </row>
    <row r="38" spans="1:25" x14ac:dyDescent="0.25">
      <c r="A38" s="7">
        <v>0</v>
      </c>
      <c r="B38" s="18">
        <f>F7</f>
        <v>45401</v>
      </c>
      <c r="C38" s="7"/>
      <c r="D38" s="7"/>
      <c r="E38" s="24">
        <f>ROUND((SUM(F39:F158)/(1+G39)^(C39/D39)),4)</f>
        <v>101.42100000000001</v>
      </c>
      <c r="F38" s="7"/>
      <c r="G38" s="62"/>
      <c r="H38" s="53"/>
      <c r="U38" s="38"/>
      <c r="V38" s="38"/>
      <c r="W38" s="38"/>
      <c r="X38" s="38"/>
      <c r="Y38" s="38"/>
    </row>
    <row r="39" spans="1:25" x14ac:dyDescent="0.25">
      <c r="A39" s="7">
        <v>1</v>
      </c>
      <c r="B39" s="19">
        <f t="shared" ref="B39:B70" si="0">IFERROR(IF($F$18-1&gt;0,COUPNCD(B38,$F$8,$F$14,$F$12),""),"")</f>
        <v>45551</v>
      </c>
      <c r="C39" s="7">
        <f>IFERROR(IF($F$18-1&gt;0,DAYS360(B38,B39,0),""),"")</f>
        <v>147</v>
      </c>
      <c r="D39" s="7">
        <f t="shared" ref="D39:D70" si="1">IFERROR(IF($F$18-1&gt;0,COUPDAYS(B38,B39,$F$14,$F$12),""),"")</f>
        <v>180</v>
      </c>
      <c r="E39" s="44">
        <f t="shared" ref="E39:E70" si="2">IFERROR(IF(A39&lt;$F$18,$F$13*($F$10/$F$14)*(C39/D39),IF(A39=$F$18,$F$13*($F$10/$F$14)*(C39/D39)+$F$13,"")),"")</f>
        <v>3.1543749999999999</v>
      </c>
      <c r="F39" s="20">
        <f t="shared" ref="F39:F70" si="3">IFERROR(IF(A39=1,E39,IF(A39&lt;=$F$18,(E39/((1+G39)^(A39-1))),"")),"")</f>
        <v>3.1543749999999999</v>
      </c>
      <c r="G39" s="63">
        <f t="shared" ref="G39:G84" si="4">IFERROR(IF(A39&lt;=$F$18,(1+($F$23/(D39/C39)))^(D39/C39)-1,""),"")</f>
        <v>3.8065872068026918E-2</v>
      </c>
      <c r="H39" s="39"/>
      <c r="U39" s="38"/>
      <c r="V39" s="38"/>
      <c r="W39" s="38"/>
      <c r="X39" s="38"/>
      <c r="Y39" s="38"/>
    </row>
    <row r="40" spans="1:25" x14ac:dyDescent="0.25">
      <c r="A40" s="7">
        <f t="shared" ref="A40:A71" si="5">IFERROR(IF(A39+1&lt;=$F$18,A39+1,""),"")</f>
        <v>2</v>
      </c>
      <c r="B40" s="18">
        <f t="shared" si="0"/>
        <v>45732</v>
      </c>
      <c r="C40" s="7">
        <f t="shared" ref="C40:C89" si="6">IFERROR(IF($F$18-1&gt;0,DAYS360(B39,B40,0),""),"")</f>
        <v>180</v>
      </c>
      <c r="D40" s="7">
        <f t="shared" si="1"/>
        <v>180</v>
      </c>
      <c r="E40" s="45">
        <f t="shared" si="2"/>
        <v>3.8624999999999998</v>
      </c>
      <c r="F40" s="20">
        <f t="shared" si="3"/>
        <v>3.7213312972392294</v>
      </c>
      <c r="G40" s="63">
        <f t="shared" si="4"/>
        <v>3.7935000000000052E-2</v>
      </c>
      <c r="H40" s="54"/>
      <c r="I40" s="53"/>
      <c r="M40" s="55">
        <f>(1+F23/(D39/C39))^(D39/C39)-1</f>
        <v>3.8065872068026918E-2</v>
      </c>
      <c r="Q40" s="65"/>
      <c r="U40" s="38"/>
      <c r="V40" s="38"/>
      <c r="W40" s="38"/>
      <c r="X40" s="38"/>
      <c r="Y40" s="38"/>
    </row>
    <row r="41" spans="1:25" x14ac:dyDescent="0.25">
      <c r="A41" s="7">
        <f t="shared" si="5"/>
        <v>3</v>
      </c>
      <c r="B41" s="18">
        <f t="shared" si="0"/>
        <v>45916</v>
      </c>
      <c r="C41" s="7">
        <f t="shared" si="6"/>
        <v>180</v>
      </c>
      <c r="D41" s="7">
        <f t="shared" si="1"/>
        <v>180</v>
      </c>
      <c r="E41" s="44">
        <f t="shared" si="2"/>
        <v>3.8624999999999998</v>
      </c>
      <c r="F41" s="20">
        <f t="shared" si="3"/>
        <v>3.5853221032523517</v>
      </c>
      <c r="G41" s="63">
        <f t="shared" si="4"/>
        <v>3.7935000000000052E-2</v>
      </c>
      <c r="H41" s="39"/>
      <c r="U41" s="38"/>
      <c r="V41" s="38"/>
      <c r="W41" s="38"/>
      <c r="X41" s="38"/>
      <c r="Y41" s="38"/>
    </row>
    <row r="42" spans="1:25" x14ac:dyDescent="0.25">
      <c r="A42" s="7">
        <f t="shared" si="5"/>
        <v>4</v>
      </c>
      <c r="B42" s="18">
        <f t="shared" si="0"/>
        <v>46097</v>
      </c>
      <c r="C42" s="7">
        <f t="shared" si="6"/>
        <v>180</v>
      </c>
      <c r="D42" s="7">
        <f t="shared" si="1"/>
        <v>180</v>
      </c>
      <c r="E42" s="44">
        <f t="shared" si="2"/>
        <v>3.8624999999999998</v>
      </c>
      <c r="F42" s="20">
        <f t="shared" si="3"/>
        <v>3.4542838455706297</v>
      </c>
      <c r="G42" s="63">
        <f t="shared" si="4"/>
        <v>3.7935000000000052E-2</v>
      </c>
      <c r="H42" s="39"/>
      <c r="I42" s="51"/>
      <c r="M42" s="38" t="s">
        <v>7</v>
      </c>
      <c r="N42" s="47">
        <f>O37</f>
        <v>104.56306907531253</v>
      </c>
      <c r="O42" s="56">
        <f>N42/N43</f>
        <v>101.42102050481813</v>
      </c>
      <c r="U42" s="38"/>
      <c r="V42" s="38"/>
      <c r="W42" s="38"/>
      <c r="X42" s="38"/>
      <c r="Y42" s="38"/>
    </row>
    <row r="43" spans="1:25" x14ac:dyDescent="0.25">
      <c r="A43" s="7">
        <f t="shared" si="5"/>
        <v>5</v>
      </c>
      <c r="B43" s="18">
        <f t="shared" si="0"/>
        <v>46281</v>
      </c>
      <c r="C43" s="7">
        <f t="shared" si="6"/>
        <v>180</v>
      </c>
      <c r="D43" s="7">
        <f t="shared" si="1"/>
        <v>180</v>
      </c>
      <c r="E43" s="44">
        <f t="shared" si="2"/>
        <v>3.8624999999999998</v>
      </c>
      <c r="F43" s="20">
        <f t="shared" si="3"/>
        <v>3.3280348437721332</v>
      </c>
      <c r="G43" s="63">
        <f t="shared" si="4"/>
        <v>3.7935000000000052E-2</v>
      </c>
      <c r="H43" s="39"/>
      <c r="I43" s="51"/>
      <c r="M43" s="38" t="s">
        <v>9</v>
      </c>
      <c r="N43" s="47">
        <f>(1+M40)^(F20/F21)</f>
        <v>1.03098025</v>
      </c>
      <c r="O43" s="51"/>
      <c r="U43" s="38"/>
      <c r="V43" s="38"/>
      <c r="W43" s="38"/>
      <c r="X43" s="38"/>
      <c r="Y43" s="38"/>
    </row>
    <row r="44" spans="1:25" x14ac:dyDescent="0.25">
      <c r="A44" s="7">
        <f t="shared" si="5"/>
        <v>6</v>
      </c>
      <c r="B44" s="18">
        <f t="shared" si="0"/>
        <v>46462</v>
      </c>
      <c r="C44" s="7">
        <f t="shared" si="6"/>
        <v>180</v>
      </c>
      <c r="D44" s="7">
        <f t="shared" si="1"/>
        <v>180</v>
      </c>
      <c r="E44" s="44">
        <f t="shared" si="2"/>
        <v>3.8624999999999998</v>
      </c>
      <c r="F44" s="20">
        <f t="shared" si="3"/>
        <v>3.2064000575875493</v>
      </c>
      <c r="G44" s="63">
        <f t="shared" si="4"/>
        <v>3.7935000000000052E-2</v>
      </c>
      <c r="H44" s="39"/>
      <c r="I44" s="51"/>
      <c r="N44" s="38" t="s">
        <v>24</v>
      </c>
      <c r="O44" s="56">
        <f>PV(G39,F20/F21,,-O37,0)</f>
        <v>101.42102050481813</v>
      </c>
      <c r="Q44" s="65"/>
      <c r="U44" s="38"/>
      <c r="V44" s="38"/>
      <c r="W44" s="38"/>
      <c r="X44" s="38"/>
      <c r="Y44" s="38"/>
    </row>
    <row r="45" spans="1:25" x14ac:dyDescent="0.25">
      <c r="A45" s="7">
        <f t="shared" si="5"/>
        <v>7</v>
      </c>
      <c r="B45" s="18">
        <f t="shared" si="0"/>
        <v>46646</v>
      </c>
      <c r="C45" s="7">
        <f t="shared" si="6"/>
        <v>180</v>
      </c>
      <c r="D45" s="7">
        <f t="shared" si="1"/>
        <v>180</v>
      </c>
      <c r="E45" s="44">
        <f t="shared" si="2"/>
        <v>3.8624999999999998</v>
      </c>
      <c r="F45" s="20">
        <f t="shared" si="3"/>
        <v>3.0892108442123538</v>
      </c>
      <c r="G45" s="63">
        <f t="shared" si="4"/>
        <v>3.7935000000000052E-2</v>
      </c>
      <c r="H45" s="39"/>
      <c r="I45" s="51"/>
      <c r="Q45" s="65"/>
      <c r="U45" s="38"/>
      <c r="V45" s="38"/>
      <c r="W45" s="38"/>
      <c r="X45" s="38"/>
      <c r="Y45" s="38"/>
    </row>
    <row r="46" spans="1:25" x14ac:dyDescent="0.25">
      <c r="A46" s="7">
        <f t="shared" si="5"/>
        <v>8</v>
      </c>
      <c r="B46" s="18">
        <f t="shared" si="0"/>
        <v>46828</v>
      </c>
      <c r="C46" s="7">
        <f t="shared" si="6"/>
        <v>180</v>
      </c>
      <c r="D46" s="7">
        <f t="shared" si="1"/>
        <v>180</v>
      </c>
      <c r="E46" s="44">
        <f t="shared" si="2"/>
        <v>3.8624999999999998</v>
      </c>
      <c r="F46" s="20">
        <f t="shared" si="3"/>
        <v>2.9763047244888687</v>
      </c>
      <c r="G46" s="63">
        <f t="shared" si="4"/>
        <v>3.7935000000000052E-2</v>
      </c>
      <c r="H46" s="39"/>
      <c r="I46" s="51"/>
      <c r="J46" s="58" t="s">
        <v>53</v>
      </c>
      <c r="U46" s="38"/>
      <c r="V46" s="38"/>
      <c r="W46" s="38"/>
      <c r="X46" s="38"/>
      <c r="Y46" s="38"/>
    </row>
    <row r="47" spans="1:25" x14ac:dyDescent="0.25">
      <c r="A47" s="7">
        <f t="shared" si="5"/>
        <v>9</v>
      </c>
      <c r="B47" s="18">
        <f t="shared" si="0"/>
        <v>47012</v>
      </c>
      <c r="C47" s="7">
        <f t="shared" si="6"/>
        <v>180</v>
      </c>
      <c r="D47" s="7">
        <f t="shared" si="1"/>
        <v>180</v>
      </c>
      <c r="E47" s="44">
        <f t="shared" si="2"/>
        <v>3.8624999999999998</v>
      </c>
      <c r="F47" s="20">
        <f t="shared" si="3"/>
        <v>2.8675251576340219</v>
      </c>
      <c r="G47" s="63">
        <f t="shared" si="4"/>
        <v>3.7935000000000052E-2</v>
      </c>
      <c r="H47" s="39"/>
      <c r="I47" s="51"/>
      <c r="J47" s="38" t="s">
        <v>41</v>
      </c>
      <c r="M47" s="57">
        <f>ROUND(O42,4)</f>
        <v>101.42100000000001</v>
      </c>
      <c r="U47" s="38"/>
      <c r="V47" s="38"/>
      <c r="W47" s="38"/>
      <c r="X47" s="38"/>
      <c r="Y47" s="38"/>
    </row>
    <row r="48" spans="1:25" x14ac:dyDescent="0.25">
      <c r="A48" s="7">
        <f t="shared" si="5"/>
        <v>10</v>
      </c>
      <c r="B48" s="18">
        <f t="shared" si="0"/>
        <v>47193</v>
      </c>
      <c r="C48" s="7">
        <f t="shared" si="6"/>
        <v>180</v>
      </c>
      <c r="D48" s="7">
        <f t="shared" si="1"/>
        <v>180</v>
      </c>
      <c r="E48" s="44">
        <f t="shared" si="2"/>
        <v>3.8624999999999998</v>
      </c>
      <c r="F48" s="20">
        <f t="shared" si="3"/>
        <v>2.7627213242004762</v>
      </c>
      <c r="G48" s="63">
        <f t="shared" si="4"/>
        <v>3.7935000000000052E-2</v>
      </c>
      <c r="H48" s="39"/>
      <c r="I48" s="51"/>
      <c r="J48" s="38" t="str">
        <f>A9</f>
        <v>Valor nominal demandado</v>
      </c>
      <c r="L48" s="39"/>
      <c r="M48" s="39">
        <f>F9</f>
        <v>10000</v>
      </c>
      <c r="U48" s="38"/>
      <c r="V48" s="38"/>
      <c r="W48" s="38"/>
      <c r="X48" s="38"/>
      <c r="Y48" s="38"/>
    </row>
    <row r="49" spans="1:25" x14ac:dyDescent="0.25">
      <c r="A49" s="7">
        <f t="shared" si="5"/>
        <v>11</v>
      </c>
      <c r="B49" s="18">
        <f t="shared" si="0"/>
        <v>47377</v>
      </c>
      <c r="C49" s="7">
        <f t="shared" si="6"/>
        <v>180</v>
      </c>
      <c r="D49" s="7">
        <f t="shared" si="1"/>
        <v>180</v>
      </c>
      <c r="E49" s="44">
        <f t="shared" si="2"/>
        <v>3.8624999999999998</v>
      </c>
      <c r="F49" s="20">
        <f t="shared" si="3"/>
        <v>2.6617479169702114</v>
      </c>
      <c r="G49" s="63">
        <f t="shared" si="4"/>
        <v>3.7935000000000052E-2</v>
      </c>
      <c r="H49" s="39"/>
      <c r="I49" s="51"/>
      <c r="J49" s="58" t="s">
        <v>42</v>
      </c>
      <c r="K49" s="58"/>
      <c r="L49" s="59"/>
      <c r="M49" s="49">
        <f>(M48*M47)/100</f>
        <v>10142.1</v>
      </c>
      <c r="U49" s="38"/>
      <c r="V49" s="38"/>
      <c r="W49" s="38"/>
      <c r="X49" s="38"/>
      <c r="Y49" s="38"/>
    </row>
    <row r="50" spans="1:25" x14ac:dyDescent="0.25">
      <c r="A50" s="7">
        <f t="shared" si="5"/>
        <v>12</v>
      </c>
      <c r="B50" s="18">
        <f t="shared" si="0"/>
        <v>47558</v>
      </c>
      <c r="C50" s="7">
        <f t="shared" si="6"/>
        <v>180</v>
      </c>
      <c r="D50" s="7">
        <f t="shared" si="1"/>
        <v>180</v>
      </c>
      <c r="E50" s="44">
        <f t="shared" si="2"/>
        <v>3.8624999999999998</v>
      </c>
      <c r="F50" s="20">
        <f t="shared" si="3"/>
        <v>2.5644649394906343</v>
      </c>
      <c r="G50" s="63">
        <f t="shared" si="4"/>
        <v>3.7935000000000052E-2</v>
      </c>
      <c r="H50" s="39"/>
      <c r="I50" s="51"/>
      <c r="J50" s="68" t="str">
        <f>IF(M50&lt;&gt;0,IF(M50&lt;0,"Descuento","Prima"), "A la par")</f>
        <v>Prima</v>
      </c>
      <c r="L50" s="51"/>
      <c r="M50" s="39">
        <f>M49-M48</f>
        <v>142.10000000000036</v>
      </c>
      <c r="U50" s="38"/>
      <c r="V50" s="38"/>
      <c r="W50" s="38"/>
      <c r="X50" s="38"/>
      <c r="Y50" s="38"/>
    </row>
    <row r="51" spans="1:25" x14ac:dyDescent="0.25">
      <c r="A51" s="7">
        <f t="shared" si="5"/>
        <v>13</v>
      </c>
      <c r="B51" s="18">
        <f t="shared" si="0"/>
        <v>47742</v>
      </c>
      <c r="C51" s="7">
        <f t="shared" si="6"/>
        <v>180</v>
      </c>
      <c r="D51" s="7">
        <f t="shared" si="1"/>
        <v>180</v>
      </c>
      <c r="E51" s="44">
        <f t="shared" si="2"/>
        <v>3.8624999999999998</v>
      </c>
      <c r="F51" s="20">
        <f t="shared" si="3"/>
        <v>2.4707375119739039</v>
      </c>
      <c r="G51" s="63">
        <f t="shared" si="4"/>
        <v>3.7935000000000052E-2</v>
      </c>
      <c r="H51" s="39"/>
      <c r="I51" s="51"/>
      <c r="L51" s="69"/>
      <c r="U51" s="38"/>
      <c r="V51" s="38"/>
      <c r="W51" s="38"/>
      <c r="X51" s="38"/>
      <c r="Y51" s="38"/>
    </row>
    <row r="52" spans="1:25" x14ac:dyDescent="0.25">
      <c r="A52" s="7">
        <f t="shared" si="5"/>
        <v>14</v>
      </c>
      <c r="B52" s="18">
        <f t="shared" si="0"/>
        <v>47923</v>
      </c>
      <c r="C52" s="7">
        <f t="shared" si="6"/>
        <v>180</v>
      </c>
      <c r="D52" s="7">
        <f t="shared" si="1"/>
        <v>180</v>
      </c>
      <c r="E52" s="9">
        <f t="shared" si="2"/>
        <v>3.8624999999999998</v>
      </c>
      <c r="F52" s="20">
        <f t="shared" si="3"/>
        <v>2.3804356842903491</v>
      </c>
      <c r="G52" s="63">
        <f t="shared" si="4"/>
        <v>3.7935000000000052E-2</v>
      </c>
      <c r="H52" s="39"/>
      <c r="I52" s="51"/>
      <c r="K52" s="54"/>
      <c r="U52" s="38"/>
      <c r="V52" s="38"/>
      <c r="W52" s="38"/>
      <c r="X52" s="38"/>
      <c r="Y52" s="38"/>
    </row>
    <row r="53" spans="1:25" x14ac:dyDescent="0.25">
      <c r="A53" s="7">
        <f t="shared" si="5"/>
        <v>15</v>
      </c>
      <c r="B53" s="18">
        <f t="shared" si="0"/>
        <v>48107</v>
      </c>
      <c r="C53" s="7">
        <f t="shared" si="6"/>
        <v>180</v>
      </c>
      <c r="D53" s="7">
        <f t="shared" si="1"/>
        <v>180</v>
      </c>
      <c r="E53" s="9">
        <f t="shared" si="2"/>
        <v>3.8624999999999998</v>
      </c>
      <c r="F53" s="20">
        <f t="shared" si="3"/>
        <v>2.2934342557967016</v>
      </c>
      <c r="G53" s="63">
        <f t="shared" si="4"/>
        <v>3.7935000000000052E-2</v>
      </c>
      <c r="H53" s="39"/>
      <c r="I53" s="51"/>
      <c r="U53" s="38"/>
      <c r="V53" s="38"/>
      <c r="W53" s="38"/>
      <c r="X53" s="38"/>
      <c r="Y53" s="38"/>
    </row>
    <row r="54" spans="1:25" x14ac:dyDescent="0.25">
      <c r="A54" s="7">
        <f t="shared" si="5"/>
        <v>16</v>
      </c>
      <c r="B54" s="18">
        <f t="shared" si="0"/>
        <v>48289</v>
      </c>
      <c r="C54" s="7">
        <f t="shared" si="6"/>
        <v>180</v>
      </c>
      <c r="D54" s="7">
        <f t="shared" si="1"/>
        <v>180</v>
      </c>
      <c r="E54" s="9">
        <f t="shared" si="2"/>
        <v>3.8624999999999998</v>
      </c>
      <c r="F54" s="20">
        <f t="shared" si="3"/>
        <v>2.2096126017493405</v>
      </c>
      <c r="G54" s="63">
        <f t="shared" si="4"/>
        <v>3.7935000000000052E-2</v>
      </c>
      <c r="H54" s="39"/>
      <c r="I54" s="51"/>
      <c r="J54" s="68"/>
      <c r="L54" s="69"/>
      <c r="U54" s="38"/>
      <c r="V54" s="38"/>
      <c r="W54" s="38"/>
      <c r="X54" s="38"/>
      <c r="Y54" s="38"/>
    </row>
    <row r="55" spans="1:25" x14ac:dyDescent="0.25">
      <c r="A55" s="7">
        <f t="shared" si="5"/>
        <v>17</v>
      </c>
      <c r="B55" s="18">
        <f t="shared" si="0"/>
        <v>48473</v>
      </c>
      <c r="C55" s="7">
        <f t="shared" si="6"/>
        <v>180</v>
      </c>
      <c r="D55" s="7">
        <f t="shared" si="1"/>
        <v>180</v>
      </c>
      <c r="E55" s="9">
        <f t="shared" si="2"/>
        <v>3.8624999999999998</v>
      </c>
      <c r="F55" s="20">
        <f t="shared" si="3"/>
        <v>2.1288545060618826</v>
      </c>
      <c r="G55" s="63">
        <f t="shared" si="4"/>
        <v>3.7935000000000052E-2</v>
      </c>
      <c r="H55" s="39"/>
      <c r="I55" s="51"/>
      <c r="U55" s="38"/>
      <c r="V55" s="38"/>
      <c r="W55" s="38"/>
      <c r="X55" s="38"/>
      <c r="Y55" s="38"/>
    </row>
    <row r="56" spans="1:25" x14ac:dyDescent="0.25">
      <c r="A56" s="7">
        <f t="shared" si="5"/>
        <v>18</v>
      </c>
      <c r="B56" s="18">
        <f t="shared" si="0"/>
        <v>48654</v>
      </c>
      <c r="C56" s="7">
        <f t="shared" si="6"/>
        <v>180</v>
      </c>
      <c r="D56" s="7">
        <f t="shared" si="1"/>
        <v>180</v>
      </c>
      <c r="E56" s="9">
        <f t="shared" si="2"/>
        <v>3.8624999999999998</v>
      </c>
      <c r="F56" s="20">
        <f t="shared" si="3"/>
        <v>2.0510480001752347</v>
      </c>
      <c r="G56" s="63">
        <f t="shared" si="4"/>
        <v>3.7935000000000052E-2</v>
      </c>
      <c r="H56" s="39"/>
      <c r="I56" s="51"/>
      <c r="U56" s="38"/>
      <c r="V56" s="38"/>
      <c r="W56" s="38"/>
      <c r="X56" s="38"/>
      <c r="Y56" s="38"/>
    </row>
    <row r="57" spans="1:25" x14ac:dyDescent="0.25">
      <c r="A57" s="7">
        <f t="shared" si="5"/>
        <v>19</v>
      </c>
      <c r="B57" s="18">
        <f t="shared" si="0"/>
        <v>48838</v>
      </c>
      <c r="C57" s="7">
        <f t="shared" si="6"/>
        <v>180</v>
      </c>
      <c r="D57" s="7">
        <f t="shared" si="1"/>
        <v>180</v>
      </c>
      <c r="E57" s="9">
        <f t="shared" si="2"/>
        <v>3.8624999999999998</v>
      </c>
      <c r="F57" s="20">
        <f t="shared" si="3"/>
        <v>1.9760852078167082</v>
      </c>
      <c r="G57" s="63">
        <f t="shared" si="4"/>
        <v>3.7935000000000052E-2</v>
      </c>
      <c r="H57" s="39"/>
      <c r="I57" s="51"/>
      <c r="U57" s="38"/>
      <c r="V57" s="38"/>
      <c r="W57" s="38"/>
      <c r="X57" s="38"/>
      <c r="Y57" s="38"/>
    </row>
    <row r="58" spans="1:25" x14ac:dyDescent="0.25">
      <c r="A58" s="7">
        <f t="shared" si="5"/>
        <v>20</v>
      </c>
      <c r="B58" s="18">
        <f t="shared" si="0"/>
        <v>49019</v>
      </c>
      <c r="C58" s="7">
        <f t="shared" si="6"/>
        <v>180</v>
      </c>
      <c r="D58" s="7">
        <f t="shared" si="1"/>
        <v>180</v>
      </c>
      <c r="E58" s="9">
        <f t="shared" si="2"/>
        <v>3.8624999999999998</v>
      </c>
      <c r="F58" s="20">
        <f t="shared" si="3"/>
        <v>1.9038621954329586</v>
      </c>
      <c r="G58" s="63">
        <f t="shared" si="4"/>
        <v>3.7935000000000052E-2</v>
      </c>
      <c r="H58" s="39"/>
      <c r="I58" s="51"/>
      <c r="U58" s="38"/>
      <c r="V58" s="38"/>
      <c r="W58" s="38"/>
      <c r="X58" s="38"/>
      <c r="Y58" s="38"/>
    </row>
    <row r="59" spans="1:25" x14ac:dyDescent="0.25">
      <c r="A59" s="7">
        <f t="shared" si="5"/>
        <v>21</v>
      </c>
      <c r="B59" s="18">
        <f t="shared" si="0"/>
        <v>49203</v>
      </c>
      <c r="C59" s="7">
        <f t="shared" si="6"/>
        <v>180</v>
      </c>
      <c r="D59" s="7">
        <f t="shared" si="1"/>
        <v>180</v>
      </c>
      <c r="E59" s="9">
        <f t="shared" si="2"/>
        <v>3.8624999999999998</v>
      </c>
      <c r="F59" s="20">
        <f t="shared" si="3"/>
        <v>1.8342788280893878</v>
      </c>
      <c r="G59" s="63">
        <f t="shared" si="4"/>
        <v>3.7935000000000052E-2</v>
      </c>
      <c r="H59" s="70"/>
      <c r="I59" s="51"/>
      <c r="U59" s="38"/>
      <c r="V59" s="38"/>
      <c r="W59" s="38"/>
      <c r="X59" s="38"/>
      <c r="Y59" s="38"/>
    </row>
    <row r="60" spans="1:25" x14ac:dyDescent="0.25">
      <c r="A60" s="7">
        <f t="shared" si="5"/>
        <v>22</v>
      </c>
      <c r="B60" s="18">
        <f t="shared" si="0"/>
        <v>49384</v>
      </c>
      <c r="C60" s="7">
        <f t="shared" si="6"/>
        <v>180</v>
      </c>
      <c r="D60" s="7">
        <f t="shared" si="1"/>
        <v>180</v>
      </c>
      <c r="E60" s="9">
        <f t="shared" si="2"/>
        <v>3.8624999999999998</v>
      </c>
      <c r="F60" s="20">
        <f t="shared" si="3"/>
        <v>1.7672386306362029</v>
      </c>
      <c r="G60" s="63">
        <f t="shared" si="4"/>
        <v>3.7935000000000052E-2</v>
      </c>
      <c r="I60" s="51"/>
      <c r="U60" s="38"/>
      <c r="V60" s="38"/>
      <c r="W60" s="38"/>
      <c r="X60" s="38"/>
      <c r="Y60" s="38"/>
    </row>
    <row r="61" spans="1:25" x14ac:dyDescent="0.25">
      <c r="A61" s="7">
        <f t="shared" si="5"/>
        <v>23</v>
      </c>
      <c r="B61" s="18">
        <f t="shared" si="0"/>
        <v>49568</v>
      </c>
      <c r="C61" s="7">
        <f t="shared" si="6"/>
        <v>180</v>
      </c>
      <c r="D61" s="7">
        <f t="shared" si="1"/>
        <v>180</v>
      </c>
      <c r="E61" s="9">
        <f t="shared" si="2"/>
        <v>3.8624999999999998</v>
      </c>
      <c r="F61" s="20">
        <f t="shared" si="3"/>
        <v>1.7026486539486605</v>
      </c>
      <c r="G61" s="63">
        <f t="shared" si="4"/>
        <v>3.7935000000000052E-2</v>
      </c>
      <c r="H61" s="39"/>
      <c r="I61" s="51"/>
      <c r="U61" s="38"/>
      <c r="V61" s="38"/>
      <c r="W61" s="38"/>
      <c r="X61" s="38"/>
      <c r="Y61" s="38"/>
    </row>
    <row r="62" spans="1:25" x14ac:dyDescent="0.25">
      <c r="A62" s="7">
        <f t="shared" si="5"/>
        <v>24</v>
      </c>
      <c r="B62" s="18">
        <f t="shared" si="0"/>
        <v>49750</v>
      </c>
      <c r="C62" s="7">
        <f t="shared" si="6"/>
        <v>180</v>
      </c>
      <c r="D62" s="7">
        <f t="shared" si="1"/>
        <v>180</v>
      </c>
      <c r="E62" s="9">
        <f t="shared" si="2"/>
        <v>3.8624999999999998</v>
      </c>
      <c r="F62" s="20">
        <f t="shared" si="3"/>
        <v>1.6404193460560255</v>
      </c>
      <c r="G62" s="63">
        <f t="shared" si="4"/>
        <v>3.7935000000000052E-2</v>
      </c>
      <c r="H62" s="39"/>
      <c r="I62" s="51"/>
      <c r="U62" s="38"/>
      <c r="V62" s="38"/>
      <c r="W62" s="38"/>
      <c r="X62" s="38"/>
      <c r="Y62" s="38"/>
    </row>
    <row r="63" spans="1:25" x14ac:dyDescent="0.25">
      <c r="A63" s="7">
        <f t="shared" si="5"/>
        <v>25</v>
      </c>
      <c r="B63" s="18">
        <f t="shared" si="0"/>
        <v>49934</v>
      </c>
      <c r="C63" s="7">
        <f t="shared" si="6"/>
        <v>180</v>
      </c>
      <c r="D63" s="7">
        <f t="shared" si="1"/>
        <v>180</v>
      </c>
      <c r="E63" s="9">
        <f t="shared" si="2"/>
        <v>3.8624999999999998</v>
      </c>
      <c r="F63" s="20">
        <f t="shared" si="3"/>
        <v>1.580464427980582</v>
      </c>
      <c r="G63" s="63">
        <f t="shared" si="4"/>
        <v>3.7935000000000052E-2</v>
      </c>
      <c r="H63" s="39"/>
      <c r="I63" s="51"/>
      <c r="U63" s="38"/>
      <c r="V63" s="38"/>
      <c r="W63" s="38"/>
      <c r="X63" s="38"/>
      <c r="Y63" s="38"/>
    </row>
    <row r="64" spans="1:25" x14ac:dyDescent="0.25">
      <c r="A64" s="7">
        <f t="shared" si="5"/>
        <v>26</v>
      </c>
      <c r="B64" s="18">
        <f t="shared" si="0"/>
        <v>50115</v>
      </c>
      <c r="C64" s="7">
        <f t="shared" si="6"/>
        <v>180</v>
      </c>
      <c r="D64" s="7">
        <f t="shared" si="1"/>
        <v>180</v>
      </c>
      <c r="E64" s="9">
        <f t="shared" si="2"/>
        <v>3.8624999999999998</v>
      </c>
      <c r="F64" s="20">
        <f t="shared" si="3"/>
        <v>1.5227007741145464</v>
      </c>
      <c r="G64" s="63">
        <f t="shared" si="4"/>
        <v>3.7935000000000052E-2</v>
      </c>
      <c r="H64" s="39"/>
      <c r="I64" s="51"/>
      <c r="U64" s="38"/>
      <c r="V64" s="38"/>
      <c r="W64" s="38"/>
      <c r="X64" s="38"/>
      <c r="Y64" s="38"/>
    </row>
    <row r="65" spans="1:25" x14ac:dyDescent="0.25">
      <c r="A65" s="7">
        <f t="shared" si="5"/>
        <v>27</v>
      </c>
      <c r="B65" s="18">
        <f t="shared" si="0"/>
        <v>50299</v>
      </c>
      <c r="C65" s="7">
        <f t="shared" si="6"/>
        <v>180</v>
      </c>
      <c r="D65" s="7">
        <f t="shared" si="1"/>
        <v>180</v>
      </c>
      <c r="E65" s="9">
        <f t="shared" si="2"/>
        <v>3.8624999999999998</v>
      </c>
      <c r="F65" s="20">
        <f t="shared" si="3"/>
        <v>1.4670482969690264</v>
      </c>
      <c r="G65" s="63">
        <f t="shared" si="4"/>
        <v>3.7935000000000052E-2</v>
      </c>
      <c r="H65" s="39"/>
      <c r="I65" s="51"/>
      <c r="U65" s="38"/>
      <c r="V65" s="38"/>
      <c r="W65" s="38"/>
      <c r="X65" s="38"/>
      <c r="Y65" s="38"/>
    </row>
    <row r="66" spans="1:25" x14ac:dyDescent="0.25">
      <c r="A66" s="7">
        <f t="shared" si="5"/>
        <v>28</v>
      </c>
      <c r="B66" s="18">
        <f t="shared" si="0"/>
        <v>50480</v>
      </c>
      <c r="C66" s="7">
        <f t="shared" si="6"/>
        <v>180</v>
      </c>
      <c r="D66" s="7">
        <f t="shared" si="1"/>
        <v>180</v>
      </c>
      <c r="E66" s="9">
        <f t="shared" si="2"/>
        <v>3.8624999999999998</v>
      </c>
      <c r="F66" s="20">
        <f t="shared" si="3"/>
        <v>1.4134298361352362</v>
      </c>
      <c r="G66" s="63">
        <f t="shared" si="4"/>
        <v>3.7935000000000052E-2</v>
      </c>
      <c r="H66" s="39"/>
      <c r="U66" s="38"/>
      <c r="V66" s="38"/>
      <c r="W66" s="38"/>
      <c r="X66" s="38"/>
      <c r="Y66" s="38"/>
    </row>
    <row r="67" spans="1:25" x14ac:dyDescent="0.25">
      <c r="A67" s="7">
        <f t="shared" si="5"/>
        <v>29</v>
      </c>
      <c r="B67" s="18">
        <f t="shared" si="0"/>
        <v>50664</v>
      </c>
      <c r="C67" s="7">
        <f t="shared" si="6"/>
        <v>180</v>
      </c>
      <c r="D67" s="7">
        <f t="shared" si="1"/>
        <v>180</v>
      </c>
      <c r="E67" s="9">
        <f t="shared" si="2"/>
        <v>3.8624999999999998</v>
      </c>
      <c r="F67" s="20">
        <f t="shared" si="3"/>
        <v>1.3617710513040182</v>
      </c>
      <c r="G67" s="63">
        <f t="shared" si="4"/>
        <v>3.7935000000000052E-2</v>
      </c>
      <c r="H67" s="39"/>
      <c r="U67" s="38"/>
      <c r="V67" s="38"/>
      <c r="W67" s="38"/>
      <c r="X67" s="38"/>
      <c r="Y67" s="38"/>
    </row>
    <row r="68" spans="1:25" x14ac:dyDescent="0.25">
      <c r="A68" s="7">
        <f t="shared" si="5"/>
        <v>30</v>
      </c>
      <c r="B68" s="18">
        <f t="shared" si="0"/>
        <v>50845</v>
      </c>
      <c r="C68" s="7">
        <f t="shared" si="6"/>
        <v>180</v>
      </c>
      <c r="D68" s="7">
        <f t="shared" si="1"/>
        <v>180</v>
      </c>
      <c r="E68" s="9">
        <f t="shared" si="2"/>
        <v>3.8624999999999998</v>
      </c>
      <c r="F68" s="20">
        <f t="shared" si="3"/>
        <v>1.3120003191953427</v>
      </c>
      <c r="G68" s="63">
        <f t="shared" si="4"/>
        <v>3.7935000000000052E-2</v>
      </c>
      <c r="H68" s="39"/>
      <c r="U68" s="38"/>
      <c r="V68" s="38"/>
      <c r="W68" s="38"/>
      <c r="X68" s="38"/>
      <c r="Y68" s="38"/>
    </row>
    <row r="69" spans="1:25" x14ac:dyDescent="0.25">
      <c r="A69" s="7">
        <f t="shared" si="5"/>
        <v>31</v>
      </c>
      <c r="B69" s="18">
        <f t="shared" si="0"/>
        <v>51029</v>
      </c>
      <c r="C69" s="7">
        <f t="shared" si="6"/>
        <v>180</v>
      </c>
      <c r="D69" s="7">
        <f t="shared" si="1"/>
        <v>180</v>
      </c>
      <c r="E69" s="9">
        <f t="shared" si="2"/>
        <v>3.8624999999999998</v>
      </c>
      <c r="F69" s="20">
        <f t="shared" si="3"/>
        <v>1.2640486342548838</v>
      </c>
      <c r="G69" s="63">
        <f t="shared" si="4"/>
        <v>3.7935000000000052E-2</v>
      </c>
      <c r="H69" s="69"/>
      <c r="I69" s="71"/>
      <c r="U69" s="38"/>
      <c r="V69" s="38"/>
      <c r="W69" s="38"/>
      <c r="X69" s="38"/>
      <c r="Y69" s="38"/>
    </row>
    <row r="70" spans="1:25" x14ac:dyDescent="0.25">
      <c r="A70" s="7">
        <f t="shared" si="5"/>
        <v>32</v>
      </c>
      <c r="B70" s="18">
        <f t="shared" si="0"/>
        <v>51211</v>
      </c>
      <c r="C70" s="7">
        <f t="shared" si="6"/>
        <v>180</v>
      </c>
      <c r="D70" s="7">
        <f t="shared" si="1"/>
        <v>180</v>
      </c>
      <c r="E70" s="9">
        <f t="shared" si="2"/>
        <v>3.8624999999999998</v>
      </c>
      <c r="F70" s="20">
        <f t="shared" si="3"/>
        <v>1.217849512979988</v>
      </c>
      <c r="G70" s="63">
        <f t="shared" si="4"/>
        <v>3.7935000000000052E-2</v>
      </c>
      <c r="H70" s="39"/>
      <c r="U70" s="38"/>
      <c r="V70" s="38"/>
      <c r="W70" s="38"/>
      <c r="X70" s="38"/>
      <c r="Y70" s="38"/>
    </row>
    <row r="71" spans="1:25" x14ac:dyDescent="0.25">
      <c r="A71" s="7">
        <f t="shared" si="5"/>
        <v>33</v>
      </c>
      <c r="B71" s="18">
        <f t="shared" ref="B71:B89" si="7">IFERROR(IF($F$18-1&gt;0,COUPNCD(B70,$F$8,$F$14,$F$12),""),"")</f>
        <v>51395</v>
      </c>
      <c r="C71" s="7">
        <f t="shared" si="6"/>
        <v>180</v>
      </c>
      <c r="D71" s="7">
        <f t="shared" ref="D71:D89" si="8">IFERROR(IF($F$18-1&gt;0,COUPDAYS(B70,B71,$F$14,$F$12),""),"")</f>
        <v>180</v>
      </c>
      <c r="E71" s="9">
        <f t="shared" ref="E71:E89" si="9">IFERROR(IF(A71&lt;$F$18,$F$13*($F$10/$F$14)*(C71/D71),IF(A71=$F$18,$F$13*($F$10/$F$14)*(C71/D71)+$F$13,"")),"")</f>
        <v>3.8624999999999998</v>
      </c>
      <c r="F71" s="20">
        <f t="shared" ref="F71:F89" si="10">IFERROR(IF(A71=1,E71,IF(A71&lt;=$F$18,(E71/((1+G71)^(A71-1))),"")),"")</f>
        <v>1.1733389017423901</v>
      </c>
      <c r="G71" s="63">
        <f t="shared" si="4"/>
        <v>3.7935000000000052E-2</v>
      </c>
      <c r="H71" s="39"/>
      <c r="U71" s="38"/>
      <c r="V71" s="38"/>
      <c r="W71" s="38"/>
      <c r="X71" s="38"/>
      <c r="Y71" s="38"/>
    </row>
    <row r="72" spans="1:25" x14ac:dyDescent="0.25">
      <c r="A72" s="7">
        <f t="shared" ref="A72:A89" si="11">IFERROR(IF(A71+1&lt;=$F$18,A71+1,""),"")</f>
        <v>34</v>
      </c>
      <c r="B72" s="18">
        <f t="shared" si="7"/>
        <v>51576</v>
      </c>
      <c r="C72" s="7">
        <f t="shared" si="6"/>
        <v>180</v>
      </c>
      <c r="D72" s="7">
        <f t="shared" si="8"/>
        <v>180</v>
      </c>
      <c r="E72" s="9">
        <f t="shared" si="9"/>
        <v>3.8624999999999998</v>
      </c>
      <c r="F72" s="20">
        <f t="shared" si="10"/>
        <v>1.1304550879798736</v>
      </c>
      <c r="G72" s="63">
        <f t="shared" si="4"/>
        <v>3.7935000000000052E-2</v>
      </c>
      <c r="H72" s="39"/>
      <c r="U72" s="38"/>
      <c r="V72" s="38"/>
      <c r="W72" s="38"/>
      <c r="X72" s="38"/>
      <c r="Y72" s="38"/>
    </row>
    <row r="73" spans="1:25" x14ac:dyDescent="0.25">
      <c r="A73" s="7">
        <f t="shared" si="11"/>
        <v>35</v>
      </c>
      <c r="B73" s="18">
        <f t="shared" si="7"/>
        <v>51760</v>
      </c>
      <c r="C73" s="7">
        <f t="shared" si="6"/>
        <v>180</v>
      </c>
      <c r="D73" s="7">
        <f t="shared" si="8"/>
        <v>180</v>
      </c>
      <c r="E73" s="9">
        <f t="shared" si="9"/>
        <v>3.8624999999999998</v>
      </c>
      <c r="F73" s="20">
        <f t="shared" si="10"/>
        <v>1.0891386146337425</v>
      </c>
      <c r="G73" s="63">
        <f t="shared" si="4"/>
        <v>3.7935000000000052E-2</v>
      </c>
      <c r="H73" s="39"/>
      <c r="U73" s="38"/>
      <c r="V73" s="38"/>
      <c r="W73" s="38"/>
      <c r="X73" s="38"/>
      <c r="Y73" s="38"/>
    </row>
    <row r="74" spans="1:25" x14ac:dyDescent="0.25">
      <c r="A74" s="7">
        <f t="shared" si="11"/>
        <v>36</v>
      </c>
      <c r="B74" s="18">
        <f t="shared" si="7"/>
        <v>51941</v>
      </c>
      <c r="C74" s="7">
        <f t="shared" si="6"/>
        <v>180</v>
      </c>
      <c r="D74" s="7">
        <f t="shared" si="8"/>
        <v>180</v>
      </c>
      <c r="E74" s="9">
        <f t="shared" si="9"/>
        <v>3.8624999999999998</v>
      </c>
      <c r="F74" s="20">
        <f t="shared" si="10"/>
        <v>1.0493321977134815</v>
      </c>
      <c r="G74" s="63">
        <f t="shared" si="4"/>
        <v>3.7935000000000052E-2</v>
      </c>
      <c r="H74" s="39"/>
      <c r="U74" s="38"/>
      <c r="V74" s="38"/>
      <c r="W74" s="38"/>
      <c r="X74" s="38"/>
      <c r="Y74" s="38"/>
    </row>
    <row r="75" spans="1:25" x14ac:dyDescent="0.25">
      <c r="A75" s="7">
        <f t="shared" si="11"/>
        <v>37</v>
      </c>
      <c r="B75" s="18">
        <f t="shared" si="7"/>
        <v>52125</v>
      </c>
      <c r="C75" s="7">
        <f t="shared" si="6"/>
        <v>180</v>
      </c>
      <c r="D75" s="7">
        <f t="shared" si="8"/>
        <v>180</v>
      </c>
      <c r="E75" s="9">
        <f t="shared" si="9"/>
        <v>3.8624999999999998</v>
      </c>
      <c r="F75" s="20">
        <f t="shared" si="10"/>
        <v>1.0109806468743048</v>
      </c>
      <c r="G75" s="63">
        <f t="shared" si="4"/>
        <v>3.7935000000000052E-2</v>
      </c>
      <c r="H75" s="39"/>
      <c r="U75" s="38"/>
      <c r="V75" s="38"/>
      <c r="W75" s="38"/>
      <c r="X75" s="38"/>
      <c r="Y75" s="38"/>
    </row>
    <row r="76" spans="1:25" x14ac:dyDescent="0.25">
      <c r="A76" s="7">
        <f t="shared" si="11"/>
        <v>38</v>
      </c>
      <c r="B76" s="18">
        <f t="shared" si="7"/>
        <v>52306</v>
      </c>
      <c r="C76" s="7">
        <f t="shared" si="6"/>
        <v>180</v>
      </c>
      <c r="D76" s="7">
        <f t="shared" si="8"/>
        <v>180</v>
      </c>
      <c r="E76" s="9">
        <f t="shared" si="9"/>
        <v>3.8624999999999998</v>
      </c>
      <c r="F76" s="20">
        <f t="shared" si="10"/>
        <v>0.97403078889747874</v>
      </c>
      <c r="G76" s="63">
        <f t="shared" si="4"/>
        <v>3.7935000000000052E-2</v>
      </c>
      <c r="H76" s="39"/>
      <c r="U76" s="38"/>
      <c r="V76" s="38"/>
      <c r="W76" s="38"/>
      <c r="X76" s="38"/>
      <c r="Y76" s="38"/>
    </row>
    <row r="77" spans="1:25" x14ac:dyDescent="0.25">
      <c r="A77" s="7">
        <f t="shared" si="11"/>
        <v>39</v>
      </c>
      <c r="B77" s="18">
        <f t="shared" si="7"/>
        <v>52490</v>
      </c>
      <c r="C77" s="7">
        <f t="shared" si="6"/>
        <v>180</v>
      </c>
      <c r="D77" s="7">
        <f t="shared" si="8"/>
        <v>180</v>
      </c>
      <c r="E77" s="9">
        <f t="shared" si="9"/>
        <v>3.8624999999999998</v>
      </c>
      <c r="F77" s="20">
        <f t="shared" si="10"/>
        <v>0.93843139396732811</v>
      </c>
      <c r="G77" s="63">
        <f t="shared" si="4"/>
        <v>3.7935000000000052E-2</v>
      </c>
      <c r="H77" s="39"/>
      <c r="U77" s="38"/>
      <c r="V77" s="38"/>
      <c r="W77" s="38"/>
      <c r="X77" s="38"/>
      <c r="Y77" s="38"/>
    </row>
    <row r="78" spans="1:25" x14ac:dyDescent="0.25">
      <c r="A78" s="7">
        <f t="shared" si="11"/>
        <v>40</v>
      </c>
      <c r="B78" s="18">
        <f t="shared" si="7"/>
        <v>52672</v>
      </c>
      <c r="C78" s="7">
        <f t="shared" si="6"/>
        <v>180</v>
      </c>
      <c r="D78" s="7">
        <f t="shared" si="8"/>
        <v>180</v>
      </c>
      <c r="E78" s="9">
        <f t="shared" si="9"/>
        <v>3.8624999999999998</v>
      </c>
      <c r="F78" s="20">
        <f t="shared" si="10"/>
        <v>0.90413310464270713</v>
      </c>
      <c r="G78" s="63">
        <f t="shared" si="4"/>
        <v>3.7935000000000052E-2</v>
      </c>
      <c r="H78" s="39"/>
      <c r="U78" s="38"/>
      <c r="V78" s="38"/>
      <c r="W78" s="38"/>
      <c r="X78" s="38"/>
      <c r="Y78" s="38"/>
    </row>
    <row r="79" spans="1:25" x14ac:dyDescent="0.25">
      <c r="A79" s="7">
        <f t="shared" si="11"/>
        <v>41</v>
      </c>
      <c r="B79" s="18">
        <f t="shared" si="7"/>
        <v>52856</v>
      </c>
      <c r="C79" s="7">
        <f t="shared" si="6"/>
        <v>180</v>
      </c>
      <c r="D79" s="7">
        <f t="shared" si="8"/>
        <v>180</v>
      </c>
      <c r="E79" s="9">
        <f t="shared" si="9"/>
        <v>103.8625</v>
      </c>
      <c r="F79" s="20">
        <f t="shared" si="10"/>
        <v>23.423538009481678</v>
      </c>
      <c r="G79" s="63">
        <f t="shared" si="4"/>
        <v>3.7935000000000052E-2</v>
      </c>
      <c r="H79" s="39"/>
      <c r="U79" s="38"/>
      <c r="V79" s="38"/>
      <c r="W79" s="38"/>
      <c r="X79" s="38"/>
      <c r="Y79" s="38"/>
    </row>
    <row r="80" spans="1:25" x14ac:dyDescent="0.25">
      <c r="A80" s="7" t="str">
        <f t="shared" si="11"/>
        <v/>
      </c>
      <c r="B80" s="18" t="str">
        <f t="shared" si="7"/>
        <v/>
      </c>
      <c r="C80" s="7" t="str">
        <f t="shared" si="6"/>
        <v/>
      </c>
      <c r="D80" s="7" t="str">
        <f t="shared" si="8"/>
        <v/>
      </c>
      <c r="E80" s="9" t="str">
        <f t="shared" si="9"/>
        <v/>
      </c>
      <c r="F80" s="20" t="str">
        <f t="shared" si="10"/>
        <v/>
      </c>
      <c r="G80" s="63" t="str">
        <f t="shared" si="4"/>
        <v/>
      </c>
      <c r="H80" s="39"/>
      <c r="U80" s="38"/>
      <c r="V80" s="38"/>
      <c r="W80" s="38"/>
      <c r="X80" s="38"/>
      <c r="Y80" s="38"/>
    </row>
    <row r="81" spans="1:25" x14ac:dyDescent="0.25">
      <c r="A81" s="7" t="str">
        <f t="shared" si="11"/>
        <v/>
      </c>
      <c r="B81" s="18" t="str">
        <f t="shared" si="7"/>
        <v/>
      </c>
      <c r="C81" s="7" t="str">
        <f t="shared" si="6"/>
        <v/>
      </c>
      <c r="D81" s="7" t="str">
        <f t="shared" si="8"/>
        <v/>
      </c>
      <c r="E81" s="9" t="str">
        <f t="shared" si="9"/>
        <v/>
      </c>
      <c r="F81" s="20" t="str">
        <f t="shared" si="10"/>
        <v/>
      </c>
      <c r="G81" s="63" t="str">
        <f t="shared" si="4"/>
        <v/>
      </c>
      <c r="H81" s="39"/>
      <c r="U81" s="38"/>
      <c r="V81" s="38"/>
      <c r="W81" s="38"/>
      <c r="X81" s="38"/>
      <c r="Y81" s="38"/>
    </row>
    <row r="82" spans="1:25" x14ac:dyDescent="0.25">
      <c r="A82" s="7" t="str">
        <f t="shared" si="11"/>
        <v/>
      </c>
      <c r="B82" s="18" t="str">
        <f t="shared" si="7"/>
        <v/>
      </c>
      <c r="C82" s="7" t="str">
        <f t="shared" si="6"/>
        <v/>
      </c>
      <c r="D82" s="7" t="str">
        <f t="shared" si="8"/>
        <v/>
      </c>
      <c r="E82" s="9" t="str">
        <f t="shared" si="9"/>
        <v/>
      </c>
      <c r="F82" s="20" t="str">
        <f t="shared" si="10"/>
        <v/>
      </c>
      <c r="G82" s="63" t="str">
        <f t="shared" si="4"/>
        <v/>
      </c>
      <c r="H82" s="39"/>
      <c r="U82" s="38"/>
      <c r="V82" s="38"/>
      <c r="W82" s="38"/>
      <c r="X82" s="38"/>
      <c r="Y82" s="38"/>
    </row>
    <row r="83" spans="1:25" x14ac:dyDescent="0.25">
      <c r="A83" s="7" t="str">
        <f t="shared" si="11"/>
        <v/>
      </c>
      <c r="B83" s="18" t="str">
        <f t="shared" si="7"/>
        <v/>
      </c>
      <c r="C83" s="7" t="str">
        <f t="shared" si="6"/>
        <v/>
      </c>
      <c r="D83" s="7" t="str">
        <f t="shared" si="8"/>
        <v/>
      </c>
      <c r="E83" s="9" t="str">
        <f t="shared" si="9"/>
        <v/>
      </c>
      <c r="F83" s="20" t="str">
        <f t="shared" si="10"/>
        <v/>
      </c>
      <c r="G83" s="63" t="str">
        <f t="shared" si="4"/>
        <v/>
      </c>
      <c r="H83" s="39"/>
      <c r="U83" s="38"/>
      <c r="V83" s="38"/>
      <c r="W83" s="38"/>
      <c r="X83" s="38"/>
      <c r="Y83" s="38"/>
    </row>
    <row r="84" spans="1:25" x14ac:dyDescent="0.25">
      <c r="A84" s="7" t="str">
        <f t="shared" si="11"/>
        <v/>
      </c>
      <c r="B84" s="18" t="str">
        <f t="shared" si="7"/>
        <v/>
      </c>
      <c r="C84" s="7" t="str">
        <f t="shared" si="6"/>
        <v/>
      </c>
      <c r="D84" s="7" t="str">
        <f t="shared" si="8"/>
        <v/>
      </c>
      <c r="E84" s="9" t="str">
        <f t="shared" si="9"/>
        <v/>
      </c>
      <c r="F84" s="20" t="str">
        <f t="shared" si="10"/>
        <v/>
      </c>
      <c r="G84" s="63" t="str">
        <f t="shared" si="4"/>
        <v/>
      </c>
      <c r="H84" s="39"/>
      <c r="U84" s="38"/>
      <c r="V84" s="38"/>
      <c r="W84" s="38"/>
      <c r="X84" s="38"/>
      <c r="Y84" s="38"/>
    </row>
    <row r="85" spans="1:25" x14ac:dyDescent="0.25">
      <c r="A85" s="7" t="str">
        <f t="shared" si="11"/>
        <v/>
      </c>
      <c r="B85" s="18" t="str">
        <f t="shared" si="7"/>
        <v/>
      </c>
      <c r="C85" s="7" t="str">
        <f t="shared" si="6"/>
        <v/>
      </c>
      <c r="D85" s="7" t="str">
        <f t="shared" si="8"/>
        <v/>
      </c>
      <c r="E85" s="9" t="str">
        <f t="shared" si="9"/>
        <v/>
      </c>
      <c r="F85" s="20" t="str">
        <f t="shared" si="10"/>
        <v/>
      </c>
      <c r="G85" s="63" t="str">
        <f t="shared" ref="G85:G89" si="12">IFERROR(IF(A85&lt;=$F$18,(1+($F$23/(D85/C85)))^(D85/C85)-1,""),"")</f>
        <v/>
      </c>
      <c r="H85" s="39"/>
      <c r="U85" s="38"/>
      <c r="V85" s="38"/>
      <c r="W85" s="38"/>
      <c r="X85" s="38"/>
      <c r="Y85" s="38"/>
    </row>
    <row r="86" spans="1:25" x14ac:dyDescent="0.25">
      <c r="A86" s="7" t="str">
        <f t="shared" si="11"/>
        <v/>
      </c>
      <c r="B86" s="18" t="str">
        <f t="shared" si="7"/>
        <v/>
      </c>
      <c r="C86" s="7" t="str">
        <f t="shared" si="6"/>
        <v/>
      </c>
      <c r="D86" s="7" t="str">
        <f t="shared" si="8"/>
        <v/>
      </c>
      <c r="E86" s="9" t="str">
        <f t="shared" si="9"/>
        <v/>
      </c>
      <c r="F86" s="20" t="str">
        <f t="shared" si="10"/>
        <v/>
      </c>
      <c r="G86" s="63" t="str">
        <f t="shared" si="12"/>
        <v/>
      </c>
      <c r="H86" s="39"/>
      <c r="U86" s="38"/>
      <c r="V86" s="38"/>
      <c r="W86" s="38"/>
      <c r="X86" s="38"/>
      <c r="Y86" s="38"/>
    </row>
    <row r="87" spans="1:25" x14ac:dyDescent="0.25">
      <c r="A87" s="7" t="str">
        <f t="shared" si="11"/>
        <v/>
      </c>
      <c r="B87" s="18" t="str">
        <f t="shared" si="7"/>
        <v/>
      </c>
      <c r="C87" s="7" t="str">
        <f t="shared" si="6"/>
        <v/>
      </c>
      <c r="D87" s="7" t="str">
        <f t="shared" si="8"/>
        <v/>
      </c>
      <c r="E87" s="9" t="str">
        <f t="shared" si="9"/>
        <v/>
      </c>
      <c r="F87" s="20" t="str">
        <f t="shared" si="10"/>
        <v/>
      </c>
      <c r="G87" s="63" t="str">
        <f t="shared" si="12"/>
        <v/>
      </c>
      <c r="H87" s="39"/>
      <c r="U87" s="38"/>
      <c r="V87" s="38"/>
      <c r="W87" s="38"/>
      <c r="X87" s="38"/>
      <c r="Y87" s="38"/>
    </row>
    <row r="88" spans="1:25" x14ac:dyDescent="0.25">
      <c r="A88" s="7" t="str">
        <f t="shared" si="11"/>
        <v/>
      </c>
      <c r="B88" s="18" t="str">
        <f t="shared" si="7"/>
        <v/>
      </c>
      <c r="C88" s="7" t="str">
        <f t="shared" si="6"/>
        <v/>
      </c>
      <c r="D88" s="7" t="str">
        <f t="shared" si="8"/>
        <v/>
      </c>
      <c r="E88" s="9" t="str">
        <f t="shared" si="9"/>
        <v/>
      </c>
      <c r="F88" s="20" t="str">
        <f t="shared" si="10"/>
        <v/>
      </c>
      <c r="G88" s="63" t="str">
        <f t="shared" si="12"/>
        <v/>
      </c>
      <c r="H88" s="39"/>
      <c r="U88" s="38"/>
      <c r="V88" s="38"/>
      <c r="W88" s="38"/>
      <c r="X88" s="38"/>
      <c r="Y88" s="38"/>
    </row>
    <row r="89" spans="1:25" x14ac:dyDescent="0.25">
      <c r="A89" s="7" t="str">
        <f t="shared" si="11"/>
        <v/>
      </c>
      <c r="B89" s="18" t="str">
        <f t="shared" si="7"/>
        <v/>
      </c>
      <c r="C89" s="7" t="str">
        <f t="shared" si="6"/>
        <v/>
      </c>
      <c r="D89" s="7" t="str">
        <f t="shared" si="8"/>
        <v/>
      </c>
      <c r="E89" s="9" t="str">
        <f t="shared" si="9"/>
        <v/>
      </c>
      <c r="F89" s="20" t="str">
        <f t="shared" si="10"/>
        <v/>
      </c>
      <c r="G89" s="63" t="str">
        <f t="shared" si="12"/>
        <v/>
      </c>
      <c r="H89" s="39"/>
      <c r="I89" s="72"/>
      <c r="U89" s="38"/>
      <c r="V89" s="38"/>
      <c r="W89" s="38"/>
      <c r="X89" s="38"/>
      <c r="Y89" s="38"/>
    </row>
    <row r="90" spans="1:25" x14ac:dyDescent="0.25">
      <c r="H90" s="39"/>
      <c r="J90"/>
      <c r="K90"/>
      <c r="L90"/>
      <c r="M90"/>
      <c r="N90"/>
      <c r="O90"/>
      <c r="P90"/>
      <c r="Q90"/>
      <c r="R90"/>
      <c r="S90"/>
      <c r="T90"/>
    </row>
    <row r="93" spans="1:25" x14ac:dyDescent="0.25">
      <c r="B93" s="41"/>
      <c r="C93" s="42"/>
      <c r="J93"/>
      <c r="K93"/>
      <c r="L93"/>
      <c r="M93"/>
      <c r="N93"/>
      <c r="O93"/>
      <c r="P93"/>
      <c r="Q93"/>
      <c r="R93"/>
      <c r="S93"/>
      <c r="T93"/>
    </row>
    <row r="95" spans="1:25" x14ac:dyDescent="0.25">
      <c r="B95" s="43"/>
      <c r="J95"/>
      <c r="K95"/>
      <c r="L95"/>
      <c r="M95"/>
      <c r="N95"/>
      <c r="O95"/>
      <c r="P95"/>
      <c r="Q95"/>
      <c r="R95"/>
      <c r="S95"/>
      <c r="T95"/>
    </row>
    <row r="97" spans="3:4" customFormat="1" x14ac:dyDescent="0.25">
      <c r="C97" s="42"/>
    </row>
    <row r="98" spans="3:4" customFormat="1" ht="26.25" customHeight="1" x14ac:dyDescent="0.25"/>
    <row r="99" spans="3:4" customFormat="1" ht="22.5" customHeight="1" x14ac:dyDescent="0.25">
      <c r="C99" s="43"/>
      <c r="D99" s="43"/>
    </row>
  </sheetData>
  <sheetProtection sheet="1" objects="1" scenarios="1"/>
  <protectedRanges>
    <protectedRange password="E434" sqref="F7:F13" name="Rango1"/>
  </protectedRanges>
  <mergeCells count="7">
    <mergeCell ref="C1:F3"/>
    <mergeCell ref="S8:S9"/>
    <mergeCell ref="A35:F35"/>
    <mergeCell ref="A9:E9"/>
    <mergeCell ref="A10:E10"/>
    <mergeCell ref="A11:E11"/>
    <mergeCell ref="E27:F27"/>
  </mergeCells>
  <dataValidations count="2">
    <dataValidation type="whole" showErrorMessage="1" errorTitle="ERROR" error="Debe ingresar 0 para 30/360 ó 1 para Actual/Actual" sqref="F12" xr:uid="{00000000-0002-0000-0000-000000000000}">
      <formula1>0</formula1>
      <formula2>1</formula2>
    </dataValidation>
    <dataValidation type="list" operator="greaterThan" allowBlank="1" showErrorMessage="1" errorTitle="Fecha invalida" error="La fecha de pago debe corresponder a una serie de bonos vigente." promptTitle="Fecha de pago" sqref="F8" xr:uid="{00000000-0002-0000-0000-000001000000}">
      <formula1>$Q$8:$Q$11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84" orientation="portrait" r:id="rId1"/>
  <headerFooter>
    <oddHeader>&amp;L&amp;8&amp;D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Bono_Cupón_Irregular</vt:lpstr>
      <vt:lpstr>Bono_Cupón_Irregular!Área_de_impresión</vt:lpstr>
      <vt:lpstr>Bono_Cupón_Irregular!CeldasBlock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Efrain Santizo Reyes</dc:creator>
  <cp:lastModifiedBy>Myriam Adelaida Galvez García</cp:lastModifiedBy>
  <cp:lastPrinted>2017-08-18T16:55:10Z</cp:lastPrinted>
  <dcterms:created xsi:type="dcterms:W3CDTF">2011-11-18T17:20:11Z</dcterms:created>
  <dcterms:modified xsi:type="dcterms:W3CDTF">2024-06-17T17:22:17Z</dcterms:modified>
</cp:coreProperties>
</file>